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uk_avia\Obmen\Общий отдел\Сметы для общих собраний в ГИС ЖКХ\шестнадцатиэтажки\"/>
    </mc:Choice>
  </mc:AlternateContent>
  <xr:revisionPtr revIDLastSave="0" documentId="13_ncr:1_{5842B044-5996-440C-8366-8E3002301C75}" xr6:coauthVersionLast="37" xr6:coauthVersionMax="37" xr10:uidLastSave="{00000000-0000-0000-0000-000000000000}"/>
  <bookViews>
    <workbookView xWindow="0" yWindow="0" windowWidth="28800" windowHeight="12225" tabRatio="500" xr2:uid="{00000000-000D-0000-FFFF-FFFF00000000}"/>
  </bookViews>
  <sheets>
    <sheet name="Смета" sheetId="1" r:id="rId1"/>
  </sheets>
  <definedNames>
    <definedName name="Print_Titles_0" localSheetId="0">Смета!$7:$7</definedName>
    <definedName name="_xlnm.Print_Titles" localSheetId="0">Смета!$7:$7</definedName>
  </definedNames>
  <calcPr calcId="1790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42" i="1" l="1"/>
  <c r="J542" i="1"/>
  <c r="K542" i="1"/>
  <c r="L542" i="1"/>
  <c r="M542" i="1"/>
  <c r="N542" i="1"/>
  <c r="O542" i="1"/>
  <c r="P542" i="1"/>
  <c r="P532" i="1"/>
  <c r="P531" i="1"/>
  <c r="P530" i="1"/>
  <c r="P526" i="1"/>
  <c r="P525" i="1"/>
  <c r="P519" i="1"/>
  <c r="P518" i="1"/>
  <c r="P516" i="1"/>
  <c r="P509" i="1"/>
  <c r="P508" i="1"/>
  <c r="P507" i="1"/>
  <c r="P506" i="1"/>
  <c r="P504" i="1"/>
  <c r="P502" i="1"/>
  <c r="P500" i="1"/>
  <c r="P499" i="1"/>
  <c r="P498" i="1"/>
  <c r="P495" i="1"/>
  <c r="P489" i="1"/>
  <c r="P488" i="1"/>
  <c r="P486" i="1"/>
  <c r="P485" i="1"/>
  <c r="P483" i="1"/>
  <c r="P482" i="1"/>
  <c r="P480" i="1"/>
  <c r="P479" i="1"/>
  <c r="P477" i="1"/>
  <c r="P476" i="1"/>
  <c r="P468" i="1"/>
  <c r="P466" i="1"/>
  <c r="P465" i="1"/>
  <c r="P458" i="1"/>
  <c r="P457" i="1"/>
  <c r="P454" i="1"/>
  <c r="P451" i="1"/>
  <c r="P444" i="1"/>
  <c r="P443" i="1"/>
  <c r="P441" i="1"/>
  <c r="P436" i="1"/>
  <c r="P435" i="1"/>
  <c r="P434" i="1"/>
  <c r="P433" i="1"/>
  <c r="P432" i="1"/>
  <c r="P431" i="1"/>
  <c r="P430" i="1"/>
  <c r="P429" i="1"/>
  <c r="P428" i="1"/>
  <c r="P427" i="1"/>
  <c r="P425" i="1"/>
  <c r="P424" i="1"/>
  <c r="P423" i="1"/>
  <c r="P422" i="1"/>
  <c r="P421" i="1"/>
  <c r="P418" i="1"/>
  <c r="P417" i="1"/>
  <c r="P416" i="1"/>
  <c r="P415" i="1"/>
  <c r="P414" i="1"/>
  <c r="P412" i="1"/>
  <c r="P410" i="1"/>
  <c r="P409" i="1"/>
  <c r="P408" i="1"/>
  <c r="P407" i="1"/>
  <c r="P405" i="1"/>
  <c r="P404" i="1"/>
  <c r="P397" i="1"/>
  <c r="P396" i="1"/>
  <c r="P395" i="1"/>
  <c r="P394" i="1"/>
  <c r="P392" i="1"/>
  <c r="P391" i="1"/>
  <c r="P390" i="1"/>
  <c r="P387" i="1"/>
  <c r="P386" i="1"/>
  <c r="P384" i="1"/>
  <c r="P383" i="1"/>
  <c r="P382" i="1"/>
  <c r="P381" i="1"/>
  <c r="P380" i="1"/>
  <c r="P379" i="1"/>
  <c r="P378" i="1"/>
  <c r="P376" i="1"/>
  <c r="P372" i="1"/>
  <c r="P371" i="1"/>
  <c r="P370" i="1"/>
  <c r="P368" i="1"/>
  <c r="P367" i="1"/>
  <c r="P364" i="1"/>
  <c r="P362" i="1"/>
  <c r="P360" i="1"/>
  <c r="P358" i="1"/>
  <c r="P357" i="1"/>
  <c r="P356" i="1"/>
  <c r="P354" i="1"/>
  <c r="P353" i="1"/>
  <c r="P352" i="1"/>
  <c r="P350" i="1"/>
  <c r="P348" i="1"/>
  <c r="P347" i="1"/>
  <c r="P345" i="1"/>
  <c r="P343" i="1"/>
  <c r="P340" i="1"/>
  <c r="P339" i="1"/>
  <c r="P337" i="1"/>
  <c r="P336" i="1"/>
  <c r="P334" i="1"/>
  <c r="P333" i="1"/>
  <c r="P332" i="1"/>
  <c r="P329" i="1"/>
  <c r="P328" i="1"/>
  <c r="P327" i="1"/>
  <c r="P325" i="1"/>
  <c r="P324" i="1"/>
  <c r="P323" i="1"/>
  <c r="P322" i="1"/>
  <c r="P321" i="1"/>
  <c r="P314" i="1"/>
  <c r="P313" i="1"/>
  <c r="P310" i="1"/>
  <c r="P309" i="1"/>
  <c r="P308" i="1"/>
  <c r="P307" i="1"/>
  <c r="P306" i="1"/>
  <c r="P305" i="1"/>
  <c r="P304" i="1"/>
  <c r="P303" i="1"/>
  <c r="P301" i="1"/>
  <c r="P300" i="1"/>
  <c r="P299" i="1"/>
  <c r="P298" i="1"/>
  <c r="P297" i="1"/>
  <c r="P296" i="1"/>
  <c r="P295" i="1"/>
  <c r="P294" i="1"/>
  <c r="P291" i="1"/>
  <c r="P290" i="1"/>
  <c r="P289" i="1"/>
  <c r="P288" i="1"/>
  <c r="P285" i="1"/>
  <c r="P284" i="1"/>
  <c r="P282" i="1"/>
  <c r="P280" i="1"/>
  <c r="P279" i="1"/>
  <c r="P277" i="1"/>
  <c r="P276" i="1"/>
  <c r="P275" i="1"/>
  <c r="P274" i="1"/>
  <c r="P271" i="1"/>
  <c r="P270" i="1"/>
  <c r="P268" i="1"/>
  <c r="P267" i="1"/>
  <c r="P266" i="1"/>
  <c r="P265" i="1"/>
  <c r="P262" i="1"/>
  <c r="P261" i="1"/>
  <c r="P260" i="1"/>
  <c r="P259" i="1"/>
  <c r="P258" i="1"/>
  <c r="P256" i="1"/>
  <c r="P253" i="1"/>
  <c r="P252" i="1"/>
  <c r="P250" i="1"/>
  <c r="P248" i="1"/>
  <c r="P246" i="1"/>
  <c r="P245" i="1"/>
  <c r="P243" i="1"/>
  <c r="P240" i="1"/>
  <c r="P239" i="1"/>
  <c r="P237" i="1"/>
  <c r="P234" i="1"/>
  <c r="P233" i="1"/>
  <c r="P232" i="1"/>
  <c r="P231" i="1"/>
  <c r="P230" i="1"/>
  <c r="P229" i="1"/>
  <c r="P227" i="1"/>
  <c r="P226" i="1"/>
  <c r="P225" i="1"/>
  <c r="P223" i="1"/>
  <c r="P222" i="1"/>
  <c r="P221" i="1"/>
  <c r="P219" i="1"/>
  <c r="P218" i="1"/>
  <c r="P217" i="1"/>
  <c r="P215" i="1"/>
  <c r="P214" i="1"/>
  <c r="P213" i="1"/>
  <c r="P212" i="1"/>
  <c r="P211" i="1"/>
  <c r="P204" i="1"/>
  <c r="P203" i="1"/>
  <c r="P202" i="1"/>
  <c r="P201" i="1"/>
  <c r="P198" i="1"/>
  <c r="P197" i="1"/>
  <c r="P196" i="1"/>
  <c r="P195" i="1"/>
  <c r="P194" i="1"/>
  <c r="P193" i="1"/>
  <c r="P192" i="1"/>
  <c r="P190" i="1"/>
  <c r="P189" i="1"/>
  <c r="P187" i="1"/>
  <c r="P185" i="1"/>
  <c r="P184" i="1"/>
  <c r="P182" i="1"/>
  <c r="P181" i="1"/>
  <c r="P179" i="1"/>
  <c r="P178" i="1"/>
  <c r="P177" i="1"/>
  <c r="P176" i="1"/>
  <c r="P175" i="1"/>
  <c r="P172" i="1"/>
  <c r="P171" i="1"/>
  <c r="P170" i="1"/>
  <c r="P169" i="1"/>
  <c r="P168" i="1"/>
  <c r="P162" i="1"/>
  <c r="P160" i="1"/>
  <c r="P158" i="1"/>
  <c r="P157" i="1"/>
  <c r="P156" i="1"/>
  <c r="P155" i="1"/>
  <c r="P152" i="1"/>
  <c r="P150" i="1"/>
  <c r="P149" i="1"/>
  <c r="P148" i="1"/>
  <c r="P147" i="1"/>
  <c r="P146" i="1"/>
  <c r="P145" i="1"/>
  <c r="P143" i="1"/>
  <c r="P142" i="1"/>
  <c r="P141" i="1"/>
  <c r="P139" i="1"/>
  <c r="P136" i="1"/>
  <c r="P135" i="1"/>
  <c r="P134" i="1"/>
  <c r="P132" i="1"/>
  <c r="P130" i="1"/>
  <c r="P128" i="1"/>
  <c r="P127" i="1"/>
  <c r="P124" i="1"/>
  <c r="P122" i="1"/>
  <c r="P119" i="1"/>
  <c r="P118" i="1"/>
  <c r="P117" i="1"/>
  <c r="P116" i="1"/>
  <c r="P115" i="1"/>
  <c r="P114" i="1"/>
  <c r="P113" i="1"/>
  <c r="P111" i="1"/>
  <c r="P110" i="1"/>
  <c r="P109" i="1"/>
  <c r="P108" i="1"/>
  <c r="P107" i="1"/>
  <c r="P106" i="1"/>
  <c r="P105" i="1"/>
  <c r="P104" i="1"/>
  <c r="P101" i="1"/>
  <c r="P99" i="1"/>
  <c r="P98" i="1"/>
  <c r="P97" i="1"/>
  <c r="P95" i="1"/>
  <c r="P94" i="1"/>
  <c r="P92" i="1"/>
  <c r="P91" i="1"/>
  <c r="P89" i="1"/>
  <c r="P88" i="1"/>
  <c r="P86" i="1"/>
  <c r="P84" i="1"/>
  <c r="P83" i="1"/>
  <c r="P82" i="1"/>
  <c r="P80" i="1"/>
  <c r="P79" i="1"/>
  <c r="P76" i="1"/>
  <c r="P72" i="1"/>
  <c r="P70" i="1"/>
  <c r="P68" i="1"/>
  <c r="P67" i="1"/>
  <c r="P64" i="1"/>
  <c r="P63" i="1"/>
  <c r="P61" i="1"/>
  <c r="P58" i="1"/>
  <c r="P54" i="1"/>
  <c r="P53" i="1"/>
  <c r="P52" i="1"/>
  <c r="P51" i="1"/>
  <c r="P50" i="1"/>
  <c r="P48" i="1"/>
  <c r="P45" i="1"/>
  <c r="P42" i="1"/>
  <c r="P40" i="1"/>
  <c r="P39" i="1"/>
  <c r="P37" i="1"/>
  <c r="P34" i="1"/>
  <c r="P32" i="1"/>
  <c r="P29" i="1"/>
  <c r="P28" i="1"/>
  <c r="P25" i="1"/>
  <c r="P23" i="1"/>
  <c r="P21" i="1"/>
  <c r="P16" i="1"/>
  <c r="P15" i="1"/>
  <c r="P14" i="1"/>
  <c r="P13" i="1"/>
  <c r="P12" i="1"/>
  <c r="P11" i="1"/>
  <c r="O537" i="1" l="1"/>
  <c r="P533" i="1"/>
  <c r="P527" i="1"/>
  <c r="P520" i="1"/>
  <c r="P510" i="1"/>
  <c r="P490" i="1"/>
  <c r="P469" i="1"/>
  <c r="P459" i="1"/>
  <c r="P445" i="1"/>
  <c r="P437" i="1"/>
  <c r="P398" i="1"/>
  <c r="P315" i="1"/>
  <c r="P205" i="1"/>
  <c r="P163" i="1"/>
  <c r="H536" i="1" l="1"/>
  <c r="H537" i="1" s="1"/>
  <c r="O532" i="1"/>
  <c r="O509" i="1"/>
  <c r="O289" i="1"/>
  <c r="I537" i="1"/>
  <c r="M536" i="1"/>
  <c r="M537" i="1" s="1"/>
  <c r="L536" i="1"/>
  <c r="L537" i="1" s="1"/>
  <c r="K536" i="1"/>
  <c r="K537" i="1" s="1"/>
  <c r="J536" i="1"/>
  <c r="J537" i="1" s="1"/>
  <c r="I536" i="1"/>
  <c r="M533" i="1"/>
  <c r="H532" i="1"/>
  <c r="N532" i="1" s="1"/>
  <c r="M531" i="1"/>
  <c r="L531" i="1"/>
  <c r="K531" i="1"/>
  <c r="J531" i="1"/>
  <c r="I531" i="1"/>
  <c r="H531" i="1"/>
  <c r="M530" i="1"/>
  <c r="L530" i="1"/>
  <c r="L533" i="1" s="1"/>
  <c r="K530" i="1"/>
  <c r="J530" i="1"/>
  <c r="I530" i="1"/>
  <c r="I533" i="1" s="1"/>
  <c r="H530" i="1"/>
  <c r="H533" i="1" s="1"/>
  <c r="M526" i="1"/>
  <c r="L526" i="1"/>
  <c r="K526" i="1"/>
  <c r="J526" i="1"/>
  <c r="I526" i="1"/>
  <c r="H526" i="1"/>
  <c r="M525" i="1"/>
  <c r="L525" i="1"/>
  <c r="L527" i="1" s="1"/>
  <c r="K525" i="1"/>
  <c r="K527" i="1" s="1"/>
  <c r="J525" i="1"/>
  <c r="I525" i="1"/>
  <c r="H525" i="1"/>
  <c r="M519" i="1"/>
  <c r="L519" i="1"/>
  <c r="K519" i="1"/>
  <c r="J519" i="1"/>
  <c r="I519" i="1"/>
  <c r="H519" i="1"/>
  <c r="M518" i="1"/>
  <c r="L518" i="1"/>
  <c r="K518" i="1"/>
  <c r="J518" i="1"/>
  <c r="I518" i="1"/>
  <c r="H518" i="1"/>
  <c r="M516" i="1"/>
  <c r="M520" i="1" s="1"/>
  <c r="L516" i="1"/>
  <c r="K516" i="1"/>
  <c r="J516" i="1"/>
  <c r="J520" i="1" s="1"/>
  <c r="I516" i="1"/>
  <c r="I520" i="1" s="1"/>
  <c r="H516" i="1"/>
  <c r="F509" i="1"/>
  <c r="N509" i="1" s="1"/>
  <c r="N508" i="1"/>
  <c r="N507" i="1"/>
  <c r="I507" i="1"/>
  <c r="H507" i="1"/>
  <c r="F507" i="1"/>
  <c r="M506" i="1"/>
  <c r="L506" i="1"/>
  <c r="K506" i="1"/>
  <c r="J506" i="1"/>
  <c r="I506" i="1"/>
  <c r="N506" i="1" s="1"/>
  <c r="H506" i="1"/>
  <c r="M504" i="1"/>
  <c r="L504" i="1"/>
  <c r="K504" i="1"/>
  <c r="J504" i="1"/>
  <c r="I504" i="1"/>
  <c r="H504" i="1"/>
  <c r="M502" i="1"/>
  <c r="L502" i="1"/>
  <c r="K502" i="1"/>
  <c r="J502" i="1"/>
  <c r="I502" i="1"/>
  <c r="N502" i="1" s="1"/>
  <c r="H502" i="1"/>
  <c r="M500" i="1"/>
  <c r="L500" i="1"/>
  <c r="K500" i="1"/>
  <c r="J500" i="1"/>
  <c r="I500" i="1"/>
  <c r="H500" i="1"/>
  <c r="M499" i="1"/>
  <c r="L499" i="1"/>
  <c r="K499" i="1"/>
  <c r="J499" i="1"/>
  <c r="I499" i="1"/>
  <c r="N499" i="1" s="1"/>
  <c r="H499" i="1"/>
  <c r="M498" i="1"/>
  <c r="L498" i="1"/>
  <c r="K498" i="1"/>
  <c r="K510" i="1" s="1"/>
  <c r="J498" i="1"/>
  <c r="I498" i="1"/>
  <c r="H498" i="1"/>
  <c r="M495" i="1"/>
  <c r="M510" i="1" s="1"/>
  <c r="L495" i="1"/>
  <c r="L510" i="1" s="1"/>
  <c r="K495" i="1"/>
  <c r="J495" i="1"/>
  <c r="I495" i="1"/>
  <c r="H495" i="1"/>
  <c r="H510" i="1" s="1"/>
  <c r="M489" i="1"/>
  <c r="L489" i="1"/>
  <c r="K489" i="1"/>
  <c r="J489" i="1"/>
  <c r="I489" i="1"/>
  <c r="H489" i="1"/>
  <c r="M488" i="1"/>
  <c r="L488" i="1"/>
  <c r="K488" i="1"/>
  <c r="J488" i="1"/>
  <c r="I488" i="1"/>
  <c r="N488" i="1" s="1"/>
  <c r="H488" i="1"/>
  <c r="M486" i="1"/>
  <c r="L486" i="1"/>
  <c r="K486" i="1"/>
  <c r="J486" i="1"/>
  <c r="I486" i="1"/>
  <c r="H486" i="1"/>
  <c r="M485" i="1"/>
  <c r="L485" i="1"/>
  <c r="K485" i="1"/>
  <c r="J485" i="1"/>
  <c r="I485" i="1"/>
  <c r="N485" i="1" s="1"/>
  <c r="H485" i="1"/>
  <c r="M483" i="1"/>
  <c r="L483" i="1"/>
  <c r="K483" i="1"/>
  <c r="J483" i="1"/>
  <c r="I483" i="1"/>
  <c r="H483" i="1"/>
  <c r="M482" i="1"/>
  <c r="L482" i="1"/>
  <c r="K482" i="1"/>
  <c r="J482" i="1"/>
  <c r="I482" i="1"/>
  <c r="N482" i="1" s="1"/>
  <c r="H482" i="1"/>
  <c r="M480" i="1"/>
  <c r="L480" i="1"/>
  <c r="K480" i="1"/>
  <c r="J480" i="1"/>
  <c r="I480" i="1"/>
  <c r="H480" i="1"/>
  <c r="M479" i="1"/>
  <c r="L479" i="1"/>
  <c r="K479" i="1"/>
  <c r="J479" i="1"/>
  <c r="I479" i="1"/>
  <c r="N479" i="1" s="1"/>
  <c r="H479" i="1"/>
  <c r="M477" i="1"/>
  <c r="L477" i="1"/>
  <c r="K477" i="1"/>
  <c r="J477" i="1"/>
  <c r="I477" i="1"/>
  <c r="H477" i="1"/>
  <c r="M476" i="1"/>
  <c r="M490" i="1" s="1"/>
  <c r="L476" i="1"/>
  <c r="L490" i="1" s="1"/>
  <c r="K476" i="1"/>
  <c r="J476" i="1"/>
  <c r="I476" i="1"/>
  <c r="I490" i="1" s="1"/>
  <c r="H476" i="1"/>
  <c r="H490" i="1" s="1"/>
  <c r="M468" i="1"/>
  <c r="L468" i="1"/>
  <c r="K468" i="1"/>
  <c r="J468" i="1"/>
  <c r="I468" i="1"/>
  <c r="H468" i="1"/>
  <c r="M466" i="1"/>
  <c r="L466" i="1"/>
  <c r="K466" i="1"/>
  <c r="J466" i="1"/>
  <c r="I466" i="1"/>
  <c r="N466" i="1" s="1"/>
  <c r="H466" i="1"/>
  <c r="M465" i="1"/>
  <c r="L465" i="1"/>
  <c r="K465" i="1"/>
  <c r="K469" i="1" s="1"/>
  <c r="J465" i="1"/>
  <c r="J469" i="1" s="1"/>
  <c r="I465" i="1"/>
  <c r="H465" i="1"/>
  <c r="M458" i="1"/>
  <c r="L458" i="1"/>
  <c r="K458" i="1"/>
  <c r="J458" i="1"/>
  <c r="N458" i="1" s="1"/>
  <c r="I458" i="1"/>
  <c r="H458" i="1"/>
  <c r="M457" i="1"/>
  <c r="L457" i="1"/>
  <c r="K457" i="1"/>
  <c r="J457" i="1"/>
  <c r="I457" i="1"/>
  <c r="H457" i="1"/>
  <c r="M454" i="1"/>
  <c r="L454" i="1"/>
  <c r="K454" i="1"/>
  <c r="J454" i="1"/>
  <c r="I454" i="1"/>
  <c r="H454" i="1"/>
  <c r="M451" i="1"/>
  <c r="L451" i="1"/>
  <c r="L459" i="1" s="1"/>
  <c r="K451" i="1"/>
  <c r="K459" i="1" s="1"/>
  <c r="J451" i="1"/>
  <c r="I451" i="1"/>
  <c r="H451" i="1"/>
  <c r="H459" i="1" s="1"/>
  <c r="M444" i="1"/>
  <c r="L444" i="1"/>
  <c r="K444" i="1"/>
  <c r="J444" i="1"/>
  <c r="N444" i="1" s="1"/>
  <c r="I444" i="1"/>
  <c r="H444" i="1"/>
  <c r="M443" i="1"/>
  <c r="L443" i="1"/>
  <c r="K443" i="1"/>
  <c r="J443" i="1"/>
  <c r="I443" i="1"/>
  <c r="H443" i="1"/>
  <c r="M441" i="1"/>
  <c r="M445" i="1" s="1"/>
  <c r="L441" i="1"/>
  <c r="K441" i="1"/>
  <c r="J441" i="1"/>
  <c r="J445" i="1" s="1"/>
  <c r="I441" i="1"/>
  <c r="H441" i="1"/>
  <c r="M436" i="1"/>
  <c r="L436" i="1"/>
  <c r="K436" i="1"/>
  <c r="J436" i="1"/>
  <c r="I436" i="1"/>
  <c r="H436" i="1"/>
  <c r="M435" i="1"/>
  <c r="L435" i="1"/>
  <c r="K435" i="1"/>
  <c r="J435" i="1"/>
  <c r="N435" i="1" s="1"/>
  <c r="I435" i="1"/>
  <c r="H435" i="1"/>
  <c r="M434" i="1"/>
  <c r="L434" i="1"/>
  <c r="K434" i="1"/>
  <c r="J434" i="1"/>
  <c r="I434" i="1"/>
  <c r="H434" i="1"/>
  <c r="M433" i="1"/>
  <c r="L433" i="1"/>
  <c r="K433" i="1"/>
  <c r="J433" i="1"/>
  <c r="I433" i="1"/>
  <c r="H433" i="1"/>
  <c r="M432" i="1"/>
  <c r="L432" i="1"/>
  <c r="K432" i="1"/>
  <c r="J432" i="1"/>
  <c r="I432" i="1"/>
  <c r="H432" i="1"/>
  <c r="M431" i="1"/>
  <c r="L431" i="1"/>
  <c r="K431" i="1"/>
  <c r="J431" i="1"/>
  <c r="I431" i="1"/>
  <c r="H431" i="1"/>
  <c r="M430" i="1"/>
  <c r="L430" i="1"/>
  <c r="K430" i="1"/>
  <c r="J430" i="1"/>
  <c r="I430" i="1"/>
  <c r="H430" i="1"/>
  <c r="M429" i="1"/>
  <c r="L429" i="1"/>
  <c r="K429" i="1"/>
  <c r="J429" i="1"/>
  <c r="I429" i="1"/>
  <c r="N429" i="1" s="1"/>
  <c r="H429" i="1"/>
  <c r="M428" i="1"/>
  <c r="L428" i="1"/>
  <c r="K428" i="1"/>
  <c r="J428" i="1"/>
  <c r="I428" i="1"/>
  <c r="H428" i="1"/>
  <c r="M427" i="1"/>
  <c r="L427" i="1"/>
  <c r="K427" i="1"/>
  <c r="J427" i="1"/>
  <c r="I427" i="1"/>
  <c r="H427" i="1"/>
  <c r="M425" i="1"/>
  <c r="L425" i="1"/>
  <c r="K425" i="1"/>
  <c r="J425" i="1"/>
  <c r="I425" i="1"/>
  <c r="H425" i="1"/>
  <c r="M424" i="1"/>
  <c r="L424" i="1"/>
  <c r="K424" i="1"/>
  <c r="J424" i="1"/>
  <c r="I424" i="1"/>
  <c r="N424" i="1" s="1"/>
  <c r="H424" i="1"/>
  <c r="M423" i="1"/>
  <c r="L423" i="1"/>
  <c r="K423" i="1"/>
  <c r="J423" i="1"/>
  <c r="I423" i="1"/>
  <c r="H423" i="1"/>
  <c r="M422" i="1"/>
  <c r="L422" i="1"/>
  <c r="K422" i="1"/>
  <c r="J422" i="1"/>
  <c r="I422" i="1"/>
  <c r="H422" i="1"/>
  <c r="M421" i="1"/>
  <c r="L421" i="1"/>
  <c r="K421" i="1"/>
  <c r="J421" i="1"/>
  <c r="I421" i="1"/>
  <c r="H421" i="1"/>
  <c r="M418" i="1"/>
  <c r="L418" i="1"/>
  <c r="K418" i="1"/>
  <c r="J418" i="1"/>
  <c r="I418" i="1"/>
  <c r="N418" i="1" s="1"/>
  <c r="H418" i="1"/>
  <c r="M417" i="1"/>
  <c r="L417" i="1"/>
  <c r="K417" i="1"/>
  <c r="J417" i="1"/>
  <c r="I417" i="1"/>
  <c r="H417" i="1"/>
  <c r="M416" i="1"/>
  <c r="L416" i="1"/>
  <c r="K416" i="1"/>
  <c r="J416" i="1"/>
  <c r="I416" i="1"/>
  <c r="H416" i="1"/>
  <c r="M415" i="1"/>
  <c r="L415" i="1"/>
  <c r="K415" i="1"/>
  <c r="J415" i="1"/>
  <c r="I415" i="1"/>
  <c r="H415" i="1"/>
  <c r="M414" i="1"/>
  <c r="L414" i="1"/>
  <c r="K414" i="1"/>
  <c r="J414" i="1"/>
  <c r="I414" i="1"/>
  <c r="N414" i="1" s="1"/>
  <c r="H414" i="1"/>
  <c r="M412" i="1"/>
  <c r="L412" i="1"/>
  <c r="K412" i="1"/>
  <c r="J412" i="1"/>
  <c r="I412" i="1"/>
  <c r="H412" i="1"/>
  <c r="M410" i="1"/>
  <c r="L410" i="1"/>
  <c r="K410" i="1"/>
  <c r="J410" i="1"/>
  <c r="I410" i="1"/>
  <c r="H410" i="1"/>
  <c r="M409" i="1"/>
  <c r="L409" i="1"/>
  <c r="K409" i="1"/>
  <c r="J409" i="1"/>
  <c r="I409" i="1"/>
  <c r="H409" i="1"/>
  <c r="M408" i="1"/>
  <c r="L408" i="1"/>
  <c r="K408" i="1"/>
  <c r="J408" i="1"/>
  <c r="I408" i="1"/>
  <c r="H408" i="1"/>
  <c r="M407" i="1"/>
  <c r="L407" i="1"/>
  <c r="K407" i="1"/>
  <c r="J407" i="1"/>
  <c r="I407" i="1"/>
  <c r="H407" i="1"/>
  <c r="M405" i="1"/>
  <c r="L405" i="1"/>
  <c r="K405" i="1"/>
  <c r="J405" i="1"/>
  <c r="I405" i="1"/>
  <c r="H405" i="1"/>
  <c r="M404" i="1"/>
  <c r="L404" i="1"/>
  <c r="L437" i="1" s="1"/>
  <c r="K404" i="1"/>
  <c r="K437" i="1" s="1"/>
  <c r="J404" i="1"/>
  <c r="I404" i="1"/>
  <c r="H404" i="1"/>
  <c r="H437" i="1" s="1"/>
  <c r="M397" i="1"/>
  <c r="L397" i="1"/>
  <c r="K397" i="1"/>
  <c r="J397" i="1"/>
  <c r="I397" i="1"/>
  <c r="N397" i="1" s="1"/>
  <c r="H397" i="1"/>
  <c r="M396" i="1"/>
  <c r="L396" i="1"/>
  <c r="K396" i="1"/>
  <c r="J396" i="1"/>
  <c r="I396" i="1"/>
  <c r="H396" i="1"/>
  <c r="M395" i="1"/>
  <c r="L395" i="1"/>
  <c r="K395" i="1"/>
  <c r="J395" i="1"/>
  <c r="I395" i="1"/>
  <c r="H395" i="1"/>
  <c r="M394" i="1"/>
  <c r="L394" i="1"/>
  <c r="K394" i="1"/>
  <c r="J394" i="1"/>
  <c r="I394" i="1"/>
  <c r="H394" i="1"/>
  <c r="M392" i="1"/>
  <c r="L392" i="1"/>
  <c r="K392" i="1"/>
  <c r="J392" i="1"/>
  <c r="I392" i="1"/>
  <c r="N392" i="1" s="1"/>
  <c r="H392" i="1"/>
  <c r="M391" i="1"/>
  <c r="L391" i="1"/>
  <c r="K391" i="1"/>
  <c r="J391" i="1"/>
  <c r="I391" i="1"/>
  <c r="H391" i="1"/>
  <c r="M390" i="1"/>
  <c r="L390" i="1"/>
  <c r="K390" i="1"/>
  <c r="J390" i="1"/>
  <c r="I390" i="1"/>
  <c r="H390" i="1"/>
  <c r="M387" i="1"/>
  <c r="L387" i="1"/>
  <c r="K387" i="1"/>
  <c r="J387" i="1"/>
  <c r="I387" i="1"/>
  <c r="H387" i="1"/>
  <c r="M386" i="1"/>
  <c r="L386" i="1"/>
  <c r="K386" i="1"/>
  <c r="J386" i="1"/>
  <c r="I386" i="1"/>
  <c r="H386" i="1"/>
  <c r="M384" i="1"/>
  <c r="L384" i="1"/>
  <c r="K384" i="1"/>
  <c r="J384" i="1"/>
  <c r="I384" i="1"/>
  <c r="H384" i="1"/>
  <c r="M383" i="1"/>
  <c r="L383" i="1"/>
  <c r="K383" i="1"/>
  <c r="J383" i="1"/>
  <c r="I383" i="1"/>
  <c r="H383" i="1"/>
  <c r="M382" i="1"/>
  <c r="L382" i="1"/>
  <c r="K382" i="1"/>
  <c r="J382" i="1"/>
  <c r="I382" i="1"/>
  <c r="H382" i="1"/>
  <c r="M381" i="1"/>
  <c r="L381" i="1"/>
  <c r="K381" i="1"/>
  <c r="J381" i="1"/>
  <c r="I381" i="1"/>
  <c r="H381" i="1"/>
  <c r="M380" i="1"/>
  <c r="L380" i="1"/>
  <c r="K380" i="1"/>
  <c r="J380" i="1"/>
  <c r="I380" i="1"/>
  <c r="H380" i="1"/>
  <c r="M379" i="1"/>
  <c r="L379" i="1"/>
  <c r="K379" i="1"/>
  <c r="J379" i="1"/>
  <c r="I379" i="1"/>
  <c r="H379" i="1"/>
  <c r="M378" i="1"/>
  <c r="L378" i="1"/>
  <c r="K378" i="1"/>
  <c r="J378" i="1"/>
  <c r="I378" i="1"/>
  <c r="H378" i="1"/>
  <c r="M376" i="1"/>
  <c r="L376" i="1"/>
  <c r="K376" i="1"/>
  <c r="J376" i="1"/>
  <c r="I376" i="1"/>
  <c r="H376" i="1"/>
  <c r="M372" i="1"/>
  <c r="L372" i="1"/>
  <c r="K372" i="1"/>
  <c r="J372" i="1"/>
  <c r="I372" i="1"/>
  <c r="H372" i="1"/>
  <c r="M371" i="1"/>
  <c r="L371" i="1"/>
  <c r="K371" i="1"/>
  <c r="J371" i="1"/>
  <c r="I371" i="1"/>
  <c r="H371" i="1"/>
  <c r="M370" i="1"/>
  <c r="L370" i="1"/>
  <c r="K370" i="1"/>
  <c r="J370" i="1"/>
  <c r="I370" i="1"/>
  <c r="H370" i="1"/>
  <c r="M368" i="1"/>
  <c r="L368" i="1"/>
  <c r="K368" i="1"/>
  <c r="J368" i="1"/>
  <c r="I368" i="1"/>
  <c r="H368" i="1"/>
  <c r="M367" i="1"/>
  <c r="L367" i="1"/>
  <c r="K367" i="1"/>
  <c r="J367" i="1"/>
  <c r="I367" i="1"/>
  <c r="H367" i="1"/>
  <c r="M364" i="1"/>
  <c r="L364" i="1"/>
  <c r="K364" i="1"/>
  <c r="J364" i="1"/>
  <c r="I364" i="1"/>
  <c r="H364" i="1"/>
  <c r="M362" i="1"/>
  <c r="L362" i="1"/>
  <c r="K362" i="1"/>
  <c r="J362" i="1"/>
  <c r="I362" i="1"/>
  <c r="H362" i="1"/>
  <c r="M360" i="1"/>
  <c r="L360" i="1"/>
  <c r="K360" i="1"/>
  <c r="J360" i="1"/>
  <c r="I360" i="1"/>
  <c r="H360" i="1"/>
  <c r="M358" i="1"/>
  <c r="L358" i="1"/>
  <c r="K358" i="1"/>
  <c r="J358" i="1"/>
  <c r="I358" i="1"/>
  <c r="H358" i="1"/>
  <c r="M357" i="1"/>
  <c r="L357" i="1"/>
  <c r="K357" i="1"/>
  <c r="J357" i="1"/>
  <c r="I357" i="1"/>
  <c r="H357" i="1"/>
  <c r="M356" i="1"/>
  <c r="L356" i="1"/>
  <c r="K356" i="1"/>
  <c r="J356" i="1"/>
  <c r="I356" i="1"/>
  <c r="H356" i="1"/>
  <c r="M354" i="1"/>
  <c r="L354" i="1"/>
  <c r="K354" i="1"/>
  <c r="J354" i="1"/>
  <c r="I354" i="1"/>
  <c r="H354" i="1"/>
  <c r="M353" i="1"/>
  <c r="L353" i="1"/>
  <c r="K353" i="1"/>
  <c r="J353" i="1"/>
  <c r="I353" i="1"/>
  <c r="H353" i="1"/>
  <c r="M352" i="1"/>
  <c r="L352" i="1"/>
  <c r="K352" i="1"/>
  <c r="J352" i="1"/>
  <c r="I352" i="1"/>
  <c r="H352" i="1"/>
  <c r="M350" i="1"/>
  <c r="L350" i="1"/>
  <c r="K350" i="1"/>
  <c r="J350" i="1"/>
  <c r="I350" i="1"/>
  <c r="H350" i="1"/>
  <c r="M348" i="1"/>
  <c r="L348" i="1"/>
  <c r="K348" i="1"/>
  <c r="J348" i="1"/>
  <c r="I348" i="1"/>
  <c r="H348" i="1"/>
  <c r="M347" i="1"/>
  <c r="L347" i="1"/>
  <c r="K347" i="1"/>
  <c r="J347" i="1"/>
  <c r="I347" i="1"/>
  <c r="H347" i="1"/>
  <c r="M345" i="1"/>
  <c r="L345" i="1"/>
  <c r="K345" i="1"/>
  <c r="J345" i="1"/>
  <c r="I345" i="1"/>
  <c r="H345" i="1"/>
  <c r="M343" i="1"/>
  <c r="L343" i="1"/>
  <c r="K343" i="1"/>
  <c r="J343" i="1"/>
  <c r="I343" i="1"/>
  <c r="H343" i="1"/>
  <c r="M340" i="1"/>
  <c r="L340" i="1"/>
  <c r="K340" i="1"/>
  <c r="J340" i="1"/>
  <c r="I340" i="1"/>
  <c r="H340" i="1"/>
  <c r="M339" i="1"/>
  <c r="L339" i="1"/>
  <c r="K339" i="1"/>
  <c r="J339" i="1"/>
  <c r="I339" i="1"/>
  <c r="H339" i="1"/>
  <c r="M337" i="1"/>
  <c r="L337" i="1"/>
  <c r="K337" i="1"/>
  <c r="J337" i="1"/>
  <c r="I337" i="1"/>
  <c r="H337" i="1"/>
  <c r="M336" i="1"/>
  <c r="L336" i="1"/>
  <c r="K336" i="1"/>
  <c r="J336" i="1"/>
  <c r="I336" i="1"/>
  <c r="H336" i="1"/>
  <c r="M334" i="1"/>
  <c r="L334" i="1"/>
  <c r="K334" i="1"/>
  <c r="J334" i="1"/>
  <c r="I334" i="1"/>
  <c r="H334" i="1"/>
  <c r="M333" i="1"/>
  <c r="L333" i="1"/>
  <c r="K333" i="1"/>
  <c r="J333" i="1"/>
  <c r="I333" i="1"/>
  <c r="H333" i="1"/>
  <c r="M332" i="1"/>
  <c r="L332" i="1"/>
  <c r="K332" i="1"/>
  <c r="J332" i="1"/>
  <c r="I332" i="1"/>
  <c r="H332" i="1"/>
  <c r="M329" i="1"/>
  <c r="L329" i="1"/>
  <c r="K329" i="1"/>
  <c r="J329" i="1"/>
  <c r="I329" i="1"/>
  <c r="H329" i="1"/>
  <c r="M328" i="1"/>
  <c r="L328" i="1"/>
  <c r="K328" i="1"/>
  <c r="J328" i="1"/>
  <c r="I328" i="1"/>
  <c r="H328" i="1"/>
  <c r="M327" i="1"/>
  <c r="L327" i="1"/>
  <c r="K327" i="1"/>
  <c r="J327" i="1"/>
  <c r="I327" i="1"/>
  <c r="H327" i="1"/>
  <c r="M325" i="1"/>
  <c r="L325" i="1"/>
  <c r="K325" i="1"/>
  <c r="J325" i="1"/>
  <c r="I325" i="1"/>
  <c r="H325" i="1"/>
  <c r="M324" i="1"/>
  <c r="L324" i="1"/>
  <c r="K324" i="1"/>
  <c r="J324" i="1"/>
  <c r="I324" i="1"/>
  <c r="H324" i="1"/>
  <c r="M323" i="1"/>
  <c r="L323" i="1"/>
  <c r="K323" i="1"/>
  <c r="J323" i="1"/>
  <c r="I323" i="1"/>
  <c r="H323" i="1"/>
  <c r="M322" i="1"/>
  <c r="L322" i="1"/>
  <c r="K322" i="1"/>
  <c r="J322" i="1"/>
  <c r="I322" i="1"/>
  <c r="H322" i="1"/>
  <c r="M321" i="1"/>
  <c r="L321" i="1"/>
  <c r="K321" i="1"/>
  <c r="J321" i="1"/>
  <c r="J398" i="1" s="1"/>
  <c r="I321" i="1"/>
  <c r="H321" i="1"/>
  <c r="M314" i="1"/>
  <c r="L314" i="1"/>
  <c r="K314" i="1"/>
  <c r="J314" i="1"/>
  <c r="I314" i="1"/>
  <c r="H314" i="1"/>
  <c r="M313" i="1"/>
  <c r="L313" i="1"/>
  <c r="K313" i="1"/>
  <c r="J313" i="1"/>
  <c r="I313" i="1"/>
  <c r="H313" i="1"/>
  <c r="M310" i="1"/>
  <c r="L310" i="1"/>
  <c r="K310" i="1"/>
  <c r="J310" i="1"/>
  <c r="I310" i="1"/>
  <c r="H310" i="1"/>
  <c r="M309" i="1"/>
  <c r="L309" i="1"/>
  <c r="K309" i="1"/>
  <c r="J309" i="1"/>
  <c r="I309" i="1"/>
  <c r="H309" i="1"/>
  <c r="M308" i="1"/>
  <c r="L308" i="1"/>
  <c r="K308" i="1"/>
  <c r="J308" i="1"/>
  <c r="I308" i="1"/>
  <c r="H308" i="1"/>
  <c r="M307" i="1"/>
  <c r="L307" i="1"/>
  <c r="K307" i="1"/>
  <c r="J307" i="1"/>
  <c r="I307" i="1"/>
  <c r="H307" i="1"/>
  <c r="M306" i="1"/>
  <c r="L306" i="1"/>
  <c r="K306" i="1"/>
  <c r="J306" i="1"/>
  <c r="I306" i="1"/>
  <c r="H306" i="1"/>
  <c r="M305" i="1"/>
  <c r="L305" i="1"/>
  <c r="K305" i="1"/>
  <c r="J305" i="1"/>
  <c r="I305" i="1"/>
  <c r="H305" i="1"/>
  <c r="M304" i="1"/>
  <c r="L304" i="1"/>
  <c r="K304" i="1"/>
  <c r="J304" i="1"/>
  <c r="I304" i="1"/>
  <c r="H304" i="1"/>
  <c r="N304" i="1" s="1"/>
  <c r="M303" i="1"/>
  <c r="L303" i="1"/>
  <c r="K303" i="1"/>
  <c r="J303" i="1"/>
  <c r="I303" i="1"/>
  <c r="H303" i="1"/>
  <c r="M301" i="1"/>
  <c r="L301" i="1"/>
  <c r="K301" i="1"/>
  <c r="J301" i="1"/>
  <c r="I301" i="1"/>
  <c r="H301" i="1"/>
  <c r="N301" i="1" s="1"/>
  <c r="M300" i="1"/>
  <c r="L300" i="1"/>
  <c r="K300" i="1"/>
  <c r="J300" i="1"/>
  <c r="I300" i="1"/>
  <c r="H300" i="1"/>
  <c r="M299" i="1"/>
  <c r="L299" i="1"/>
  <c r="K299" i="1"/>
  <c r="J299" i="1"/>
  <c r="I299" i="1"/>
  <c r="H299" i="1"/>
  <c r="N299" i="1" s="1"/>
  <c r="M298" i="1"/>
  <c r="L298" i="1"/>
  <c r="K298" i="1"/>
  <c r="J298" i="1"/>
  <c r="I298" i="1"/>
  <c r="H298" i="1"/>
  <c r="M297" i="1"/>
  <c r="L297" i="1"/>
  <c r="K297" i="1"/>
  <c r="J297" i="1"/>
  <c r="I297" i="1"/>
  <c r="H297" i="1"/>
  <c r="N297" i="1" s="1"/>
  <c r="M296" i="1"/>
  <c r="L296" i="1"/>
  <c r="K296" i="1"/>
  <c r="J296" i="1"/>
  <c r="I296" i="1"/>
  <c r="H296" i="1"/>
  <c r="M295" i="1"/>
  <c r="L295" i="1"/>
  <c r="K295" i="1"/>
  <c r="J295" i="1"/>
  <c r="I295" i="1"/>
  <c r="H295" i="1"/>
  <c r="N295" i="1" s="1"/>
  <c r="M294" i="1"/>
  <c r="L294" i="1"/>
  <c r="K294" i="1"/>
  <c r="J294" i="1"/>
  <c r="I294" i="1"/>
  <c r="H294" i="1"/>
  <c r="M291" i="1"/>
  <c r="L291" i="1"/>
  <c r="K291" i="1"/>
  <c r="J291" i="1"/>
  <c r="I291" i="1"/>
  <c r="H291" i="1"/>
  <c r="N291" i="1" s="1"/>
  <c r="M290" i="1"/>
  <c r="L290" i="1"/>
  <c r="K290" i="1"/>
  <c r="J290" i="1"/>
  <c r="I290" i="1"/>
  <c r="H290" i="1"/>
  <c r="M289" i="1"/>
  <c r="L289" i="1"/>
  <c r="K289" i="1"/>
  <c r="J289" i="1"/>
  <c r="I289" i="1"/>
  <c r="H289" i="1"/>
  <c r="N289" i="1" s="1"/>
  <c r="M288" i="1"/>
  <c r="L288" i="1"/>
  <c r="K288" i="1"/>
  <c r="J288" i="1"/>
  <c r="I288" i="1"/>
  <c r="H288" i="1"/>
  <c r="M285" i="1"/>
  <c r="L285" i="1"/>
  <c r="K285" i="1"/>
  <c r="J285" i="1"/>
  <c r="I285" i="1"/>
  <c r="H285" i="1"/>
  <c r="N285" i="1" s="1"/>
  <c r="M284" i="1"/>
  <c r="L284" i="1"/>
  <c r="K284" i="1"/>
  <c r="J284" i="1"/>
  <c r="I284" i="1"/>
  <c r="H284" i="1"/>
  <c r="M282" i="1"/>
  <c r="L282" i="1"/>
  <c r="K282" i="1"/>
  <c r="J282" i="1"/>
  <c r="I282" i="1"/>
  <c r="H282" i="1"/>
  <c r="N282" i="1" s="1"/>
  <c r="M280" i="1"/>
  <c r="L280" i="1"/>
  <c r="K280" i="1"/>
  <c r="J280" i="1"/>
  <c r="I280" i="1"/>
  <c r="H280" i="1"/>
  <c r="M279" i="1"/>
  <c r="L279" i="1"/>
  <c r="K279" i="1"/>
  <c r="J279" i="1"/>
  <c r="I279" i="1"/>
  <c r="H279" i="1"/>
  <c r="N279" i="1" s="1"/>
  <c r="M277" i="1"/>
  <c r="L277" i="1"/>
  <c r="K277" i="1"/>
  <c r="J277" i="1"/>
  <c r="I277" i="1"/>
  <c r="H277" i="1"/>
  <c r="M276" i="1"/>
  <c r="L276" i="1"/>
  <c r="K276" i="1"/>
  <c r="J276" i="1"/>
  <c r="I276" i="1"/>
  <c r="H276" i="1"/>
  <c r="N276" i="1" s="1"/>
  <c r="M275" i="1"/>
  <c r="L275" i="1"/>
  <c r="K275" i="1"/>
  <c r="J275" i="1"/>
  <c r="I275" i="1"/>
  <c r="H275" i="1"/>
  <c r="M274" i="1"/>
  <c r="L274" i="1"/>
  <c r="K274" i="1"/>
  <c r="J274" i="1"/>
  <c r="I274" i="1"/>
  <c r="H274" i="1"/>
  <c r="N274" i="1" s="1"/>
  <c r="M271" i="1"/>
  <c r="L271" i="1"/>
  <c r="K271" i="1"/>
  <c r="J271" i="1"/>
  <c r="I271" i="1"/>
  <c r="H271" i="1"/>
  <c r="M270" i="1"/>
  <c r="L270" i="1"/>
  <c r="K270" i="1"/>
  <c r="J270" i="1"/>
  <c r="I270" i="1"/>
  <c r="H270" i="1"/>
  <c r="N270" i="1" s="1"/>
  <c r="M268" i="1"/>
  <c r="L268" i="1"/>
  <c r="K268" i="1"/>
  <c r="J268" i="1"/>
  <c r="I268" i="1"/>
  <c r="H268" i="1"/>
  <c r="M267" i="1"/>
  <c r="L267" i="1"/>
  <c r="K267" i="1"/>
  <c r="J267" i="1"/>
  <c r="I267" i="1"/>
  <c r="H267" i="1"/>
  <c r="N267" i="1" s="1"/>
  <c r="M266" i="1"/>
  <c r="L266" i="1"/>
  <c r="K266" i="1"/>
  <c r="J266" i="1"/>
  <c r="I266" i="1"/>
  <c r="H266" i="1"/>
  <c r="M265" i="1"/>
  <c r="L265" i="1"/>
  <c r="K265" i="1"/>
  <c r="J265" i="1"/>
  <c r="I265" i="1"/>
  <c r="H265" i="1"/>
  <c r="N265" i="1" s="1"/>
  <c r="M262" i="1"/>
  <c r="L262" i="1"/>
  <c r="K262" i="1"/>
  <c r="J262" i="1"/>
  <c r="I262" i="1"/>
  <c r="H262" i="1"/>
  <c r="M261" i="1"/>
  <c r="L261" i="1"/>
  <c r="K261" i="1"/>
  <c r="J261" i="1"/>
  <c r="I261" i="1"/>
  <c r="H261" i="1"/>
  <c r="N261" i="1" s="1"/>
  <c r="M260" i="1"/>
  <c r="L260" i="1"/>
  <c r="K260" i="1"/>
  <c r="J260" i="1"/>
  <c r="I260" i="1"/>
  <c r="H260" i="1"/>
  <c r="M259" i="1"/>
  <c r="L259" i="1"/>
  <c r="K259" i="1"/>
  <c r="J259" i="1"/>
  <c r="I259" i="1"/>
  <c r="H259" i="1"/>
  <c r="N259" i="1" s="1"/>
  <c r="M258" i="1"/>
  <c r="L258" i="1"/>
  <c r="K258" i="1"/>
  <c r="J258" i="1"/>
  <c r="I258" i="1"/>
  <c r="H258" i="1"/>
  <c r="M256" i="1"/>
  <c r="L256" i="1"/>
  <c r="K256" i="1"/>
  <c r="J256" i="1"/>
  <c r="I256" i="1"/>
  <c r="H256" i="1"/>
  <c r="N256" i="1" s="1"/>
  <c r="M253" i="1"/>
  <c r="L253" i="1"/>
  <c r="K253" i="1"/>
  <c r="J253" i="1"/>
  <c r="I253" i="1"/>
  <c r="H253" i="1"/>
  <c r="M252" i="1"/>
  <c r="L252" i="1"/>
  <c r="K252" i="1"/>
  <c r="J252" i="1"/>
  <c r="I252" i="1"/>
  <c r="H252" i="1"/>
  <c r="N252" i="1" s="1"/>
  <c r="M250" i="1"/>
  <c r="L250" i="1"/>
  <c r="K250" i="1"/>
  <c r="J250" i="1"/>
  <c r="I250" i="1"/>
  <c r="H250" i="1"/>
  <c r="M248" i="1"/>
  <c r="L248" i="1"/>
  <c r="K248" i="1"/>
  <c r="J248" i="1"/>
  <c r="I248" i="1"/>
  <c r="H248" i="1"/>
  <c r="N248" i="1" s="1"/>
  <c r="M246" i="1"/>
  <c r="L246" i="1"/>
  <c r="K246" i="1"/>
  <c r="J246" i="1"/>
  <c r="I246" i="1"/>
  <c r="H246" i="1"/>
  <c r="M245" i="1"/>
  <c r="L245" i="1"/>
  <c r="K245" i="1"/>
  <c r="J245" i="1"/>
  <c r="I245" i="1"/>
  <c r="H245" i="1"/>
  <c r="N245" i="1" s="1"/>
  <c r="M243" i="1"/>
  <c r="L243" i="1"/>
  <c r="K243" i="1"/>
  <c r="J243" i="1"/>
  <c r="I243" i="1"/>
  <c r="H243" i="1"/>
  <c r="M240" i="1"/>
  <c r="L240" i="1"/>
  <c r="K240" i="1"/>
  <c r="J240" i="1"/>
  <c r="I240" i="1"/>
  <c r="H240" i="1"/>
  <c r="M239" i="1"/>
  <c r="L239" i="1"/>
  <c r="K239" i="1"/>
  <c r="J239" i="1"/>
  <c r="I239" i="1"/>
  <c r="H239" i="1"/>
  <c r="M237" i="1"/>
  <c r="L237" i="1"/>
  <c r="K237" i="1"/>
  <c r="J237" i="1"/>
  <c r="I237" i="1"/>
  <c r="H237" i="1"/>
  <c r="M234" i="1"/>
  <c r="L234" i="1"/>
  <c r="K234" i="1"/>
  <c r="J234" i="1"/>
  <c r="I234" i="1"/>
  <c r="H234" i="1"/>
  <c r="M233" i="1"/>
  <c r="L233" i="1"/>
  <c r="K233" i="1"/>
  <c r="J233" i="1"/>
  <c r="I233" i="1"/>
  <c r="H233" i="1"/>
  <c r="M232" i="1"/>
  <c r="L232" i="1"/>
  <c r="K232" i="1"/>
  <c r="J232" i="1"/>
  <c r="I232" i="1"/>
  <c r="H232" i="1"/>
  <c r="M231" i="1"/>
  <c r="L231" i="1"/>
  <c r="K231" i="1"/>
  <c r="J231" i="1"/>
  <c r="I231" i="1"/>
  <c r="H231" i="1"/>
  <c r="M230" i="1"/>
  <c r="L230" i="1"/>
  <c r="K230" i="1"/>
  <c r="J230" i="1"/>
  <c r="I230" i="1"/>
  <c r="H230" i="1"/>
  <c r="M229" i="1"/>
  <c r="L229" i="1"/>
  <c r="K229" i="1"/>
  <c r="J229" i="1"/>
  <c r="I229" i="1"/>
  <c r="H229" i="1"/>
  <c r="M227" i="1"/>
  <c r="L227" i="1"/>
  <c r="K227" i="1"/>
  <c r="J227" i="1"/>
  <c r="I227" i="1"/>
  <c r="H227" i="1"/>
  <c r="M226" i="1"/>
  <c r="L226" i="1"/>
  <c r="K226" i="1"/>
  <c r="J226" i="1"/>
  <c r="I226" i="1"/>
  <c r="H226" i="1"/>
  <c r="M225" i="1"/>
  <c r="L225" i="1"/>
  <c r="K225" i="1"/>
  <c r="J225" i="1"/>
  <c r="I225" i="1"/>
  <c r="H225" i="1"/>
  <c r="M223" i="1"/>
  <c r="L223" i="1"/>
  <c r="K223" i="1"/>
  <c r="J223" i="1"/>
  <c r="I223" i="1"/>
  <c r="H223" i="1"/>
  <c r="M222" i="1"/>
  <c r="L222" i="1"/>
  <c r="K222" i="1"/>
  <c r="J222" i="1"/>
  <c r="I222" i="1"/>
  <c r="H222" i="1"/>
  <c r="M221" i="1"/>
  <c r="L221" i="1"/>
  <c r="K221" i="1"/>
  <c r="J221" i="1"/>
  <c r="I221" i="1"/>
  <c r="H221" i="1"/>
  <c r="M219" i="1"/>
  <c r="L219" i="1"/>
  <c r="K219" i="1"/>
  <c r="J219" i="1"/>
  <c r="I219" i="1"/>
  <c r="H219" i="1"/>
  <c r="M218" i="1"/>
  <c r="L218" i="1"/>
  <c r="K218" i="1"/>
  <c r="J218" i="1"/>
  <c r="I218" i="1"/>
  <c r="H218" i="1"/>
  <c r="M217" i="1"/>
  <c r="L217" i="1"/>
  <c r="K217" i="1"/>
  <c r="J217" i="1"/>
  <c r="I217" i="1"/>
  <c r="H217" i="1"/>
  <c r="M215" i="1"/>
  <c r="L215" i="1"/>
  <c r="K215" i="1"/>
  <c r="J215" i="1"/>
  <c r="I215" i="1"/>
  <c r="H215" i="1"/>
  <c r="M214" i="1"/>
  <c r="L214" i="1"/>
  <c r="K214" i="1"/>
  <c r="J214" i="1"/>
  <c r="I214" i="1"/>
  <c r="H214" i="1"/>
  <c r="M213" i="1"/>
  <c r="L213" i="1"/>
  <c r="K213" i="1"/>
  <c r="J213" i="1"/>
  <c r="I213" i="1"/>
  <c r="H213" i="1"/>
  <c r="M212" i="1"/>
  <c r="L212" i="1"/>
  <c r="K212" i="1"/>
  <c r="J212" i="1"/>
  <c r="I212" i="1"/>
  <c r="H212" i="1"/>
  <c r="M211" i="1"/>
  <c r="L211" i="1"/>
  <c r="L315" i="1" s="1"/>
  <c r="K211" i="1"/>
  <c r="K315" i="1" s="1"/>
  <c r="J211" i="1"/>
  <c r="I211" i="1"/>
  <c r="H211" i="1"/>
  <c r="H315" i="1" s="1"/>
  <c r="M204" i="1"/>
  <c r="L204" i="1"/>
  <c r="K204" i="1"/>
  <c r="J204" i="1"/>
  <c r="I204" i="1"/>
  <c r="H204" i="1"/>
  <c r="M203" i="1"/>
  <c r="L203" i="1"/>
  <c r="K203" i="1"/>
  <c r="J203" i="1"/>
  <c r="I203" i="1"/>
  <c r="H203" i="1"/>
  <c r="M202" i="1"/>
  <c r="L202" i="1"/>
  <c r="K202" i="1"/>
  <c r="J202" i="1"/>
  <c r="I202" i="1"/>
  <c r="H202" i="1"/>
  <c r="M201" i="1"/>
  <c r="L201" i="1"/>
  <c r="K201" i="1"/>
  <c r="J201" i="1"/>
  <c r="I201" i="1"/>
  <c r="H201" i="1"/>
  <c r="M198" i="1"/>
  <c r="L198" i="1"/>
  <c r="K198" i="1"/>
  <c r="J198" i="1"/>
  <c r="I198" i="1"/>
  <c r="H198" i="1"/>
  <c r="M197" i="1"/>
  <c r="L197" i="1"/>
  <c r="K197" i="1"/>
  <c r="J197" i="1"/>
  <c r="I197" i="1"/>
  <c r="H197" i="1"/>
  <c r="M196" i="1"/>
  <c r="L196" i="1"/>
  <c r="K196" i="1"/>
  <c r="J196" i="1"/>
  <c r="I196" i="1"/>
  <c r="H196" i="1"/>
  <c r="M195" i="1"/>
  <c r="L195" i="1"/>
  <c r="K195" i="1"/>
  <c r="J195" i="1"/>
  <c r="I195" i="1"/>
  <c r="H195" i="1"/>
  <c r="M194" i="1"/>
  <c r="L194" i="1"/>
  <c r="K194" i="1"/>
  <c r="J194" i="1"/>
  <c r="I194" i="1"/>
  <c r="H194" i="1"/>
  <c r="M193" i="1"/>
  <c r="L193" i="1"/>
  <c r="K193" i="1"/>
  <c r="J193" i="1"/>
  <c r="I193" i="1"/>
  <c r="H193" i="1"/>
  <c r="M192" i="1"/>
  <c r="L192" i="1"/>
  <c r="K192" i="1"/>
  <c r="J192" i="1"/>
  <c r="I192" i="1"/>
  <c r="H192" i="1"/>
  <c r="M190" i="1"/>
  <c r="L190" i="1"/>
  <c r="K190" i="1"/>
  <c r="J190" i="1"/>
  <c r="I190" i="1"/>
  <c r="H190" i="1"/>
  <c r="M189" i="1"/>
  <c r="L189" i="1"/>
  <c r="K189" i="1"/>
  <c r="J189" i="1"/>
  <c r="I189" i="1"/>
  <c r="H189" i="1"/>
  <c r="M187" i="1"/>
  <c r="L187" i="1"/>
  <c r="K187" i="1"/>
  <c r="J187" i="1"/>
  <c r="I187" i="1"/>
  <c r="H187" i="1"/>
  <c r="M185" i="1"/>
  <c r="L185" i="1"/>
  <c r="K185" i="1"/>
  <c r="J185" i="1"/>
  <c r="I185" i="1"/>
  <c r="H185" i="1"/>
  <c r="M184" i="1"/>
  <c r="L184" i="1"/>
  <c r="K184" i="1"/>
  <c r="J184" i="1"/>
  <c r="I184" i="1"/>
  <c r="H184" i="1"/>
  <c r="M182" i="1"/>
  <c r="L182" i="1"/>
  <c r="K182" i="1"/>
  <c r="J182" i="1"/>
  <c r="I182" i="1"/>
  <c r="H182" i="1"/>
  <c r="M181" i="1"/>
  <c r="L181" i="1"/>
  <c r="K181" i="1"/>
  <c r="J181" i="1"/>
  <c r="I181" i="1"/>
  <c r="H181" i="1"/>
  <c r="M179" i="1"/>
  <c r="L179" i="1"/>
  <c r="K179" i="1"/>
  <c r="J179" i="1"/>
  <c r="I179" i="1"/>
  <c r="H179" i="1"/>
  <c r="M178" i="1"/>
  <c r="L178" i="1"/>
  <c r="K178" i="1"/>
  <c r="J178" i="1"/>
  <c r="I178" i="1"/>
  <c r="H178" i="1"/>
  <c r="M177" i="1"/>
  <c r="L177" i="1"/>
  <c r="K177" i="1"/>
  <c r="J177" i="1"/>
  <c r="I177" i="1"/>
  <c r="H177" i="1"/>
  <c r="M176" i="1"/>
  <c r="L176" i="1"/>
  <c r="K176" i="1"/>
  <c r="J176" i="1"/>
  <c r="I176" i="1"/>
  <c r="H176" i="1"/>
  <c r="M175" i="1"/>
  <c r="L175" i="1"/>
  <c r="K175" i="1"/>
  <c r="J175" i="1"/>
  <c r="I175" i="1"/>
  <c r="H175" i="1"/>
  <c r="M172" i="1"/>
  <c r="L172" i="1"/>
  <c r="K172" i="1"/>
  <c r="J172" i="1"/>
  <c r="I172" i="1"/>
  <c r="H172" i="1"/>
  <c r="M171" i="1"/>
  <c r="L171" i="1"/>
  <c r="K171" i="1"/>
  <c r="J171" i="1"/>
  <c r="I171" i="1"/>
  <c r="H171" i="1"/>
  <c r="M170" i="1"/>
  <c r="L170" i="1"/>
  <c r="K170" i="1"/>
  <c r="J170" i="1"/>
  <c r="I170" i="1"/>
  <c r="H170" i="1"/>
  <c r="M169" i="1"/>
  <c r="L169" i="1"/>
  <c r="K169" i="1"/>
  <c r="J169" i="1"/>
  <c r="I169" i="1"/>
  <c r="H169" i="1"/>
  <c r="M168" i="1"/>
  <c r="L168" i="1"/>
  <c r="L205" i="1" s="1"/>
  <c r="K168" i="1"/>
  <c r="K205" i="1" s="1"/>
  <c r="J168" i="1"/>
  <c r="I168" i="1"/>
  <c r="H168" i="1"/>
  <c r="H205" i="1" s="1"/>
  <c r="H162" i="1"/>
  <c r="F162" i="1"/>
  <c r="M160" i="1"/>
  <c r="L160" i="1"/>
  <c r="K160" i="1"/>
  <c r="J160" i="1"/>
  <c r="I160" i="1"/>
  <c r="H160" i="1"/>
  <c r="M158" i="1"/>
  <c r="L158" i="1"/>
  <c r="K158" i="1"/>
  <c r="J158" i="1"/>
  <c r="I158" i="1"/>
  <c r="H158" i="1"/>
  <c r="M157" i="1"/>
  <c r="L157" i="1"/>
  <c r="K157" i="1"/>
  <c r="J157" i="1"/>
  <c r="I157" i="1"/>
  <c r="H157" i="1"/>
  <c r="M156" i="1"/>
  <c r="L156" i="1"/>
  <c r="K156" i="1"/>
  <c r="J156" i="1"/>
  <c r="I156" i="1"/>
  <c r="H156" i="1"/>
  <c r="M155" i="1"/>
  <c r="L155" i="1"/>
  <c r="K155" i="1"/>
  <c r="J155" i="1"/>
  <c r="I155" i="1"/>
  <c r="H155" i="1"/>
  <c r="M152" i="1"/>
  <c r="L152" i="1"/>
  <c r="K152" i="1"/>
  <c r="J152" i="1"/>
  <c r="I152" i="1"/>
  <c r="H152" i="1"/>
  <c r="M150" i="1"/>
  <c r="L150" i="1"/>
  <c r="K150" i="1"/>
  <c r="J150" i="1"/>
  <c r="I150" i="1"/>
  <c r="H150" i="1"/>
  <c r="M149" i="1"/>
  <c r="L149" i="1"/>
  <c r="K149" i="1"/>
  <c r="J149" i="1"/>
  <c r="I149" i="1"/>
  <c r="H149" i="1"/>
  <c r="M148" i="1"/>
  <c r="L148" i="1"/>
  <c r="K148" i="1"/>
  <c r="J148" i="1"/>
  <c r="I148" i="1"/>
  <c r="H148" i="1"/>
  <c r="M147" i="1"/>
  <c r="L147" i="1"/>
  <c r="K147" i="1"/>
  <c r="J147" i="1"/>
  <c r="I147" i="1"/>
  <c r="H147" i="1"/>
  <c r="M146" i="1"/>
  <c r="L146" i="1"/>
  <c r="K146" i="1"/>
  <c r="J146" i="1"/>
  <c r="I146" i="1"/>
  <c r="H146" i="1"/>
  <c r="M145" i="1"/>
  <c r="L145" i="1"/>
  <c r="K145" i="1"/>
  <c r="J145" i="1"/>
  <c r="I145" i="1"/>
  <c r="H145" i="1"/>
  <c r="M143" i="1"/>
  <c r="L143" i="1"/>
  <c r="K143" i="1"/>
  <c r="J143" i="1"/>
  <c r="I143" i="1"/>
  <c r="H143" i="1"/>
  <c r="M142" i="1"/>
  <c r="L142" i="1"/>
  <c r="K142" i="1"/>
  <c r="J142" i="1"/>
  <c r="I142" i="1"/>
  <c r="H142" i="1"/>
  <c r="M141" i="1"/>
  <c r="L141" i="1"/>
  <c r="K141" i="1"/>
  <c r="J141" i="1"/>
  <c r="I141" i="1"/>
  <c r="H141" i="1"/>
  <c r="M139" i="1"/>
  <c r="L139" i="1"/>
  <c r="K139" i="1"/>
  <c r="J139" i="1"/>
  <c r="I139" i="1"/>
  <c r="H139" i="1"/>
  <c r="M136" i="1"/>
  <c r="L136" i="1"/>
  <c r="K136" i="1"/>
  <c r="J136" i="1"/>
  <c r="I136" i="1"/>
  <c r="H136" i="1"/>
  <c r="M135" i="1"/>
  <c r="L135" i="1"/>
  <c r="K135" i="1"/>
  <c r="J135" i="1"/>
  <c r="I135" i="1"/>
  <c r="H135" i="1"/>
  <c r="M134" i="1"/>
  <c r="L134" i="1"/>
  <c r="K134" i="1"/>
  <c r="J134" i="1"/>
  <c r="I134" i="1"/>
  <c r="H134" i="1"/>
  <c r="N134" i="1" s="1"/>
  <c r="M132" i="1"/>
  <c r="L132" i="1"/>
  <c r="K132" i="1"/>
  <c r="J132" i="1"/>
  <c r="I132" i="1"/>
  <c r="H132" i="1"/>
  <c r="M130" i="1"/>
  <c r="L130" i="1"/>
  <c r="K130" i="1"/>
  <c r="J130" i="1"/>
  <c r="I130" i="1"/>
  <c r="H130" i="1"/>
  <c r="N130" i="1" s="1"/>
  <c r="M128" i="1"/>
  <c r="L128" i="1"/>
  <c r="K128" i="1"/>
  <c r="J128" i="1"/>
  <c r="I128" i="1"/>
  <c r="H128" i="1"/>
  <c r="M127" i="1"/>
  <c r="L127" i="1"/>
  <c r="K127" i="1"/>
  <c r="J127" i="1"/>
  <c r="I127" i="1"/>
  <c r="H127" i="1"/>
  <c r="N127" i="1" s="1"/>
  <c r="M124" i="1"/>
  <c r="L124" i="1"/>
  <c r="K124" i="1"/>
  <c r="J124" i="1"/>
  <c r="I124" i="1"/>
  <c r="H124" i="1"/>
  <c r="M122" i="1"/>
  <c r="L122" i="1"/>
  <c r="K122" i="1"/>
  <c r="J122" i="1"/>
  <c r="I122" i="1"/>
  <c r="H122" i="1"/>
  <c r="M119" i="1"/>
  <c r="L119" i="1"/>
  <c r="K119" i="1"/>
  <c r="J119" i="1"/>
  <c r="I119" i="1"/>
  <c r="H119" i="1"/>
  <c r="M118" i="1"/>
  <c r="L118" i="1"/>
  <c r="K118" i="1"/>
  <c r="J118" i="1"/>
  <c r="I118" i="1"/>
  <c r="H118" i="1"/>
  <c r="M117" i="1"/>
  <c r="L117" i="1"/>
  <c r="K117" i="1"/>
  <c r="J117" i="1"/>
  <c r="I117" i="1"/>
  <c r="H117" i="1"/>
  <c r="M116" i="1"/>
  <c r="L116" i="1"/>
  <c r="K116" i="1"/>
  <c r="J116" i="1"/>
  <c r="I116" i="1"/>
  <c r="H116" i="1"/>
  <c r="M115" i="1"/>
  <c r="L115" i="1"/>
  <c r="K115" i="1"/>
  <c r="J115" i="1"/>
  <c r="I115" i="1"/>
  <c r="H115" i="1"/>
  <c r="M114" i="1"/>
  <c r="L114" i="1"/>
  <c r="K114" i="1"/>
  <c r="J114" i="1"/>
  <c r="I114" i="1"/>
  <c r="H114" i="1"/>
  <c r="M113" i="1"/>
  <c r="L113" i="1"/>
  <c r="K113" i="1"/>
  <c r="J113" i="1"/>
  <c r="I113" i="1"/>
  <c r="H113" i="1"/>
  <c r="M111" i="1"/>
  <c r="L111" i="1"/>
  <c r="K111" i="1"/>
  <c r="J111" i="1"/>
  <c r="I111" i="1"/>
  <c r="H111" i="1"/>
  <c r="M110" i="1"/>
  <c r="L110" i="1"/>
  <c r="K110" i="1"/>
  <c r="J110" i="1"/>
  <c r="I110" i="1"/>
  <c r="H110" i="1"/>
  <c r="M109" i="1"/>
  <c r="L109" i="1"/>
  <c r="K109" i="1"/>
  <c r="J109" i="1"/>
  <c r="I109" i="1"/>
  <c r="H109" i="1"/>
  <c r="M108" i="1"/>
  <c r="L108" i="1"/>
  <c r="K108" i="1"/>
  <c r="J108" i="1"/>
  <c r="I108" i="1"/>
  <c r="H108" i="1"/>
  <c r="M107" i="1"/>
  <c r="L107" i="1"/>
  <c r="K107" i="1"/>
  <c r="J107" i="1"/>
  <c r="I107" i="1"/>
  <c r="H107" i="1"/>
  <c r="M106" i="1"/>
  <c r="L106" i="1"/>
  <c r="K106" i="1"/>
  <c r="J106" i="1"/>
  <c r="I106" i="1"/>
  <c r="H106" i="1"/>
  <c r="M105" i="1"/>
  <c r="L105" i="1"/>
  <c r="K105" i="1"/>
  <c r="J105" i="1"/>
  <c r="I105" i="1"/>
  <c r="H105" i="1"/>
  <c r="M104" i="1"/>
  <c r="L104" i="1"/>
  <c r="K104" i="1"/>
  <c r="J104" i="1"/>
  <c r="I104" i="1"/>
  <c r="H104" i="1"/>
  <c r="M101" i="1"/>
  <c r="L101" i="1"/>
  <c r="K101" i="1"/>
  <c r="J101" i="1"/>
  <c r="I101" i="1"/>
  <c r="H101" i="1"/>
  <c r="M99" i="1"/>
  <c r="L99" i="1"/>
  <c r="K99" i="1"/>
  <c r="J99" i="1"/>
  <c r="I99" i="1"/>
  <c r="H99" i="1"/>
  <c r="M98" i="1"/>
  <c r="L98" i="1"/>
  <c r="K98" i="1"/>
  <c r="J98" i="1"/>
  <c r="I98" i="1"/>
  <c r="H98" i="1"/>
  <c r="M97" i="1"/>
  <c r="L97" i="1"/>
  <c r="K97" i="1"/>
  <c r="J97" i="1"/>
  <c r="I97" i="1"/>
  <c r="H97" i="1"/>
  <c r="M95" i="1"/>
  <c r="L95" i="1"/>
  <c r="K95" i="1"/>
  <c r="J95" i="1"/>
  <c r="I95" i="1"/>
  <c r="H95" i="1"/>
  <c r="M94" i="1"/>
  <c r="L94" i="1"/>
  <c r="K94" i="1"/>
  <c r="J94" i="1"/>
  <c r="I94" i="1"/>
  <c r="H94" i="1"/>
  <c r="M92" i="1"/>
  <c r="L92" i="1"/>
  <c r="K92" i="1"/>
  <c r="J92" i="1"/>
  <c r="I92" i="1"/>
  <c r="H92" i="1"/>
  <c r="M91" i="1"/>
  <c r="L91" i="1"/>
  <c r="K91" i="1"/>
  <c r="J91" i="1"/>
  <c r="I91" i="1"/>
  <c r="H91" i="1"/>
  <c r="M89" i="1"/>
  <c r="L89" i="1"/>
  <c r="K89" i="1"/>
  <c r="J89" i="1"/>
  <c r="I89" i="1"/>
  <c r="H89" i="1"/>
  <c r="M88" i="1"/>
  <c r="L88" i="1"/>
  <c r="K88" i="1"/>
  <c r="J88" i="1"/>
  <c r="I88" i="1"/>
  <c r="H88" i="1"/>
  <c r="M86" i="1"/>
  <c r="L86" i="1"/>
  <c r="K86" i="1"/>
  <c r="J86" i="1"/>
  <c r="I86" i="1"/>
  <c r="H86" i="1"/>
  <c r="M84" i="1"/>
  <c r="L84" i="1"/>
  <c r="K84" i="1"/>
  <c r="J84" i="1"/>
  <c r="I84" i="1"/>
  <c r="H84" i="1"/>
  <c r="M83" i="1"/>
  <c r="L83" i="1"/>
  <c r="K83" i="1"/>
  <c r="J83" i="1"/>
  <c r="I83" i="1"/>
  <c r="H83" i="1"/>
  <c r="M82" i="1"/>
  <c r="L82" i="1"/>
  <c r="K82" i="1"/>
  <c r="J82" i="1"/>
  <c r="I82" i="1"/>
  <c r="H82" i="1"/>
  <c r="M80" i="1"/>
  <c r="L80" i="1"/>
  <c r="K80" i="1"/>
  <c r="J80" i="1"/>
  <c r="I80" i="1"/>
  <c r="H80" i="1"/>
  <c r="M79" i="1"/>
  <c r="L79" i="1"/>
  <c r="K79" i="1"/>
  <c r="J79" i="1"/>
  <c r="I79" i="1"/>
  <c r="H79" i="1"/>
  <c r="M76" i="1"/>
  <c r="L76" i="1"/>
  <c r="K76" i="1"/>
  <c r="J76" i="1"/>
  <c r="I76" i="1"/>
  <c r="H76" i="1"/>
  <c r="M72" i="1"/>
  <c r="L72" i="1"/>
  <c r="K72" i="1"/>
  <c r="J72" i="1"/>
  <c r="I72" i="1"/>
  <c r="H72" i="1"/>
  <c r="M70" i="1"/>
  <c r="L70" i="1"/>
  <c r="K70" i="1"/>
  <c r="J70" i="1"/>
  <c r="I70" i="1"/>
  <c r="H70" i="1"/>
  <c r="M68" i="1"/>
  <c r="L68" i="1"/>
  <c r="K68" i="1"/>
  <c r="J68" i="1"/>
  <c r="I68" i="1"/>
  <c r="H68" i="1"/>
  <c r="M67" i="1"/>
  <c r="L67" i="1"/>
  <c r="K67" i="1"/>
  <c r="J67" i="1"/>
  <c r="I67" i="1"/>
  <c r="H67" i="1"/>
  <c r="M64" i="1"/>
  <c r="L64" i="1"/>
  <c r="K64" i="1"/>
  <c r="J64" i="1"/>
  <c r="I64" i="1"/>
  <c r="H64" i="1"/>
  <c r="M63" i="1"/>
  <c r="L63" i="1"/>
  <c r="K63" i="1"/>
  <c r="J63" i="1"/>
  <c r="I63" i="1"/>
  <c r="H63" i="1"/>
  <c r="M61" i="1"/>
  <c r="L61" i="1"/>
  <c r="K61" i="1"/>
  <c r="J61" i="1"/>
  <c r="I61" i="1"/>
  <c r="H61" i="1"/>
  <c r="M58" i="1"/>
  <c r="L58" i="1"/>
  <c r="K58" i="1"/>
  <c r="J58" i="1"/>
  <c r="I58" i="1"/>
  <c r="H58" i="1"/>
  <c r="M54" i="1"/>
  <c r="L54" i="1"/>
  <c r="K54" i="1"/>
  <c r="J54" i="1"/>
  <c r="I54" i="1"/>
  <c r="H54" i="1"/>
  <c r="M53" i="1"/>
  <c r="L53" i="1"/>
  <c r="K53" i="1"/>
  <c r="J53" i="1"/>
  <c r="I53" i="1"/>
  <c r="H53" i="1"/>
  <c r="M52" i="1"/>
  <c r="L52" i="1"/>
  <c r="K52" i="1"/>
  <c r="J52" i="1"/>
  <c r="I52" i="1"/>
  <c r="H52" i="1"/>
  <c r="M51" i="1"/>
  <c r="L51" i="1"/>
  <c r="K51" i="1"/>
  <c r="J51" i="1"/>
  <c r="I51" i="1"/>
  <c r="H51" i="1"/>
  <c r="M50" i="1"/>
  <c r="L50" i="1"/>
  <c r="K50" i="1"/>
  <c r="J50" i="1"/>
  <c r="I50" i="1"/>
  <c r="H50" i="1"/>
  <c r="M48" i="1"/>
  <c r="L48" i="1"/>
  <c r="K48" i="1"/>
  <c r="J48" i="1"/>
  <c r="I48" i="1"/>
  <c r="H48" i="1"/>
  <c r="M45" i="1"/>
  <c r="L45" i="1"/>
  <c r="K45" i="1"/>
  <c r="J45" i="1"/>
  <c r="I45" i="1"/>
  <c r="H45" i="1"/>
  <c r="M42" i="1"/>
  <c r="L42" i="1"/>
  <c r="K42" i="1"/>
  <c r="J42" i="1"/>
  <c r="I42" i="1"/>
  <c r="H42" i="1"/>
  <c r="M40" i="1"/>
  <c r="L40" i="1"/>
  <c r="K40" i="1"/>
  <c r="J40" i="1"/>
  <c r="I40" i="1"/>
  <c r="H40" i="1"/>
  <c r="M39" i="1"/>
  <c r="L39" i="1"/>
  <c r="K39" i="1"/>
  <c r="J39" i="1"/>
  <c r="I39" i="1"/>
  <c r="H39" i="1"/>
  <c r="M37" i="1"/>
  <c r="L37" i="1"/>
  <c r="K37" i="1"/>
  <c r="J37" i="1"/>
  <c r="I37" i="1"/>
  <c r="H37" i="1"/>
  <c r="M34" i="1"/>
  <c r="L34" i="1"/>
  <c r="K34" i="1"/>
  <c r="J34" i="1"/>
  <c r="I34" i="1"/>
  <c r="H34" i="1"/>
  <c r="M32" i="1"/>
  <c r="L32" i="1"/>
  <c r="K32" i="1"/>
  <c r="J32" i="1"/>
  <c r="I32" i="1"/>
  <c r="H32" i="1"/>
  <c r="M29" i="1"/>
  <c r="L29" i="1"/>
  <c r="K29" i="1"/>
  <c r="J29" i="1"/>
  <c r="I29" i="1"/>
  <c r="H29" i="1"/>
  <c r="M28" i="1"/>
  <c r="L28" i="1"/>
  <c r="K28" i="1"/>
  <c r="J28" i="1"/>
  <c r="I28" i="1"/>
  <c r="H28" i="1"/>
  <c r="M25" i="1"/>
  <c r="L25" i="1"/>
  <c r="K25" i="1"/>
  <c r="J25" i="1"/>
  <c r="I25" i="1"/>
  <c r="H25" i="1"/>
  <c r="M23" i="1"/>
  <c r="L23" i="1"/>
  <c r="K23" i="1"/>
  <c r="J23" i="1"/>
  <c r="I23" i="1"/>
  <c r="H23" i="1"/>
  <c r="M21" i="1"/>
  <c r="L21" i="1"/>
  <c r="K21" i="1"/>
  <c r="J21" i="1"/>
  <c r="I21" i="1"/>
  <c r="H21" i="1"/>
  <c r="M16" i="1"/>
  <c r="L16" i="1"/>
  <c r="K16" i="1"/>
  <c r="J16" i="1"/>
  <c r="I16" i="1"/>
  <c r="H16" i="1"/>
  <c r="M15" i="1"/>
  <c r="L15" i="1"/>
  <c r="K15" i="1"/>
  <c r="J15" i="1"/>
  <c r="I15" i="1"/>
  <c r="H15" i="1"/>
  <c r="M14" i="1"/>
  <c r="L14" i="1"/>
  <c r="K14" i="1"/>
  <c r="J14" i="1"/>
  <c r="I14" i="1"/>
  <c r="H14" i="1"/>
  <c r="M13" i="1"/>
  <c r="L13" i="1"/>
  <c r="K13" i="1"/>
  <c r="J13" i="1"/>
  <c r="I13" i="1"/>
  <c r="H13" i="1"/>
  <c r="M12" i="1"/>
  <c r="L12" i="1"/>
  <c r="K12" i="1"/>
  <c r="J12" i="1"/>
  <c r="I12" i="1"/>
  <c r="H12" i="1"/>
  <c r="M11" i="1"/>
  <c r="L11" i="1"/>
  <c r="K11" i="1"/>
  <c r="J11" i="1"/>
  <c r="I11" i="1"/>
  <c r="H11" i="1"/>
  <c r="L163" i="1" l="1"/>
  <c r="N12" i="1"/>
  <c r="N23" i="1"/>
  <c r="O23" i="1" s="1"/>
  <c r="N28" i="1"/>
  <c r="N61" i="1"/>
  <c r="N64" i="1"/>
  <c r="N94" i="1"/>
  <c r="O130" i="1"/>
  <c r="O252" i="1"/>
  <c r="O299" i="1"/>
  <c r="N32" i="1"/>
  <c r="N37" i="1"/>
  <c r="N40" i="1"/>
  <c r="N45" i="1"/>
  <c r="N50" i="1"/>
  <c r="N52" i="1"/>
  <c r="N54" i="1"/>
  <c r="N68" i="1"/>
  <c r="N72" i="1"/>
  <c r="N79" i="1"/>
  <c r="N82" i="1"/>
  <c r="N84" i="1"/>
  <c r="N88" i="1"/>
  <c r="N91" i="1"/>
  <c r="N97" i="1"/>
  <c r="N99" i="1"/>
  <c r="N21" i="1"/>
  <c r="N25" i="1"/>
  <c r="N29" i="1"/>
  <c r="O392" i="1"/>
  <c r="O397" i="1"/>
  <c r="N408" i="1"/>
  <c r="O414" i="1"/>
  <c r="O418" i="1"/>
  <c r="O424" i="1"/>
  <c r="O429" i="1"/>
  <c r="N433" i="1"/>
  <c r="N454" i="1"/>
  <c r="N468" i="1"/>
  <c r="J490" i="1"/>
  <c r="N486" i="1"/>
  <c r="N498" i="1"/>
  <c r="N504" i="1"/>
  <c r="O265" i="1"/>
  <c r="O127" i="1"/>
  <c r="O134" i="1"/>
  <c r="O245" i="1"/>
  <c r="O248" i="1"/>
  <c r="O256" i="1"/>
  <c r="O259" i="1"/>
  <c r="O261" i="1"/>
  <c r="O267" i="1"/>
  <c r="O270" i="1"/>
  <c r="O274" i="1"/>
  <c r="O279" i="1"/>
  <c r="O282" i="1"/>
  <c r="O285" i="1"/>
  <c r="O291" i="1"/>
  <c r="O295" i="1"/>
  <c r="O297" i="1"/>
  <c r="O301" i="1"/>
  <c r="O304" i="1"/>
  <c r="N395" i="1"/>
  <c r="N405" i="1"/>
  <c r="N410" i="1"/>
  <c r="N416" i="1"/>
  <c r="N422" i="1"/>
  <c r="N427" i="1"/>
  <c r="N431" i="1"/>
  <c r="O435" i="1"/>
  <c r="O444" i="1"/>
  <c r="O458" i="1"/>
  <c r="I459" i="1"/>
  <c r="O466" i="1"/>
  <c r="O479" i="1"/>
  <c r="O482" i="1"/>
  <c r="O485" i="1"/>
  <c r="O488" i="1"/>
  <c r="O499" i="1"/>
  <c r="O502" i="1"/>
  <c r="O506" i="1"/>
  <c r="O507" i="1"/>
  <c r="O276" i="1"/>
  <c r="M163" i="1"/>
  <c r="I205" i="1"/>
  <c r="M205" i="1"/>
  <c r="M315" i="1"/>
  <c r="K398" i="1"/>
  <c r="M398" i="1"/>
  <c r="N396" i="1"/>
  <c r="N407" i="1"/>
  <c r="N412" i="1"/>
  <c r="N417" i="1"/>
  <c r="N423" i="1"/>
  <c r="N428" i="1"/>
  <c r="N432" i="1"/>
  <c r="N436" i="1"/>
  <c r="K445" i="1"/>
  <c r="N451" i="1"/>
  <c r="O451" i="1" s="1"/>
  <c r="M459" i="1"/>
  <c r="H469" i="1"/>
  <c r="L469" i="1"/>
  <c r="N536" i="1"/>
  <c r="O536" i="1" s="1"/>
  <c r="N34" i="1"/>
  <c r="N39" i="1"/>
  <c r="N42" i="1"/>
  <c r="N48" i="1"/>
  <c r="N51" i="1"/>
  <c r="N53" i="1"/>
  <c r="N58" i="1"/>
  <c r="N63" i="1"/>
  <c r="N67" i="1"/>
  <c r="N70" i="1"/>
  <c r="N76" i="1"/>
  <c r="N80" i="1"/>
  <c r="N83" i="1"/>
  <c r="N86" i="1"/>
  <c r="N89" i="1"/>
  <c r="N92" i="1"/>
  <c r="N95" i="1"/>
  <c r="N98" i="1"/>
  <c r="N101" i="1"/>
  <c r="N109" i="1"/>
  <c r="N111" i="1"/>
  <c r="O111" i="1" s="1"/>
  <c r="N114" i="1"/>
  <c r="N122" i="1"/>
  <c r="J205" i="1"/>
  <c r="J315" i="1"/>
  <c r="H398" i="1"/>
  <c r="L398" i="1"/>
  <c r="N394" i="1"/>
  <c r="N404" i="1"/>
  <c r="O404" i="1" s="1"/>
  <c r="N409" i="1"/>
  <c r="N415" i="1"/>
  <c r="N421" i="1"/>
  <c r="N425" i="1"/>
  <c r="N430" i="1"/>
  <c r="N434" i="1"/>
  <c r="H445" i="1"/>
  <c r="L445" i="1"/>
  <c r="N443" i="1"/>
  <c r="J459" i="1"/>
  <c r="N457" i="1"/>
  <c r="N465" i="1"/>
  <c r="N469" i="1" s="1"/>
  <c r="K520" i="1"/>
  <c r="I527" i="1"/>
  <c r="M527" i="1"/>
  <c r="K490" i="1"/>
  <c r="N477" i="1"/>
  <c r="N483" i="1"/>
  <c r="N489" i="1"/>
  <c r="N500" i="1"/>
  <c r="L520" i="1"/>
  <c r="J527" i="1"/>
  <c r="N526" i="1"/>
  <c r="J533" i="1"/>
  <c r="O508" i="1"/>
  <c r="N14" i="1"/>
  <c r="N16" i="1"/>
  <c r="N104" i="1"/>
  <c r="I163" i="1"/>
  <c r="N116" i="1"/>
  <c r="O12" i="1"/>
  <c r="O16" i="1"/>
  <c r="N118" i="1"/>
  <c r="O109" i="1"/>
  <c r="N11" i="1"/>
  <c r="N13" i="1"/>
  <c r="N15" i="1"/>
  <c r="J163" i="1"/>
  <c r="N105" i="1"/>
  <c r="N107" i="1"/>
  <c r="O14" i="1"/>
  <c r="N108" i="1"/>
  <c r="N113" i="1"/>
  <c r="N117" i="1"/>
  <c r="N124" i="1"/>
  <c r="N132" i="1"/>
  <c r="N136" i="1"/>
  <c r="N141" i="1"/>
  <c r="N143" i="1"/>
  <c r="N146" i="1"/>
  <c r="N148" i="1"/>
  <c r="N150" i="1"/>
  <c r="N155" i="1"/>
  <c r="N157" i="1"/>
  <c r="N160" i="1"/>
  <c r="N169" i="1"/>
  <c r="N171" i="1"/>
  <c r="N175" i="1"/>
  <c r="N177" i="1"/>
  <c r="N179" i="1"/>
  <c r="N182" i="1"/>
  <c r="N185" i="1"/>
  <c r="N189" i="1"/>
  <c r="N192" i="1"/>
  <c r="N194" i="1"/>
  <c r="N196" i="1"/>
  <c r="N198" i="1"/>
  <c r="N202" i="1"/>
  <c r="N204" i="1"/>
  <c r="N213" i="1"/>
  <c r="N215" i="1"/>
  <c r="N218" i="1"/>
  <c r="N221" i="1"/>
  <c r="N223" i="1"/>
  <c r="N226" i="1"/>
  <c r="N229" i="1"/>
  <c r="N231" i="1"/>
  <c r="N233" i="1"/>
  <c r="N237" i="1"/>
  <c r="N240" i="1"/>
  <c r="K163" i="1"/>
  <c r="I315" i="1"/>
  <c r="N459" i="1"/>
  <c r="N162" i="1"/>
  <c r="O162" i="1" s="1"/>
  <c r="N441" i="1"/>
  <c r="O441" i="1" s="1"/>
  <c r="I445" i="1"/>
  <c r="H163" i="1"/>
  <c r="H542" i="1" s="1"/>
  <c r="N106" i="1"/>
  <c r="N110" i="1"/>
  <c r="N115" i="1"/>
  <c r="N119" i="1"/>
  <c r="N128" i="1"/>
  <c r="N135" i="1"/>
  <c r="N139" i="1"/>
  <c r="N142" i="1"/>
  <c r="N145" i="1"/>
  <c r="N147" i="1"/>
  <c r="N149" i="1"/>
  <c r="N152" i="1"/>
  <c r="N156" i="1"/>
  <c r="N158" i="1"/>
  <c r="N170" i="1"/>
  <c r="N172" i="1"/>
  <c r="N176" i="1"/>
  <c r="N178" i="1"/>
  <c r="N181" i="1"/>
  <c r="N184" i="1"/>
  <c r="N187" i="1"/>
  <c r="N190" i="1"/>
  <c r="N193" i="1"/>
  <c r="N195" i="1"/>
  <c r="N197" i="1"/>
  <c r="N201" i="1"/>
  <c r="N203" i="1"/>
  <c r="N212" i="1"/>
  <c r="N214" i="1"/>
  <c r="N217" i="1"/>
  <c r="N219" i="1"/>
  <c r="N222" i="1"/>
  <c r="N225" i="1"/>
  <c r="N227" i="1"/>
  <c r="N230" i="1"/>
  <c r="N232" i="1"/>
  <c r="N234" i="1"/>
  <c r="N239" i="1"/>
  <c r="N243" i="1"/>
  <c r="N246" i="1"/>
  <c r="N250" i="1"/>
  <c r="N253" i="1"/>
  <c r="N258" i="1"/>
  <c r="N260" i="1"/>
  <c r="N262" i="1"/>
  <c r="N266" i="1"/>
  <c r="N268" i="1"/>
  <c r="N271" i="1"/>
  <c r="N275" i="1"/>
  <c r="N277" i="1"/>
  <c r="N280" i="1"/>
  <c r="N284" i="1"/>
  <c r="N288" i="1"/>
  <c r="N290" i="1"/>
  <c r="N294" i="1"/>
  <c r="N296" i="1"/>
  <c r="N298" i="1"/>
  <c r="N300" i="1"/>
  <c r="N303" i="1"/>
  <c r="N168" i="1"/>
  <c r="O168" i="1" s="1"/>
  <c r="N211" i="1"/>
  <c r="O211" i="1" s="1"/>
  <c r="N306" i="1"/>
  <c r="N308" i="1"/>
  <c r="N310" i="1"/>
  <c r="N314" i="1"/>
  <c r="N323" i="1"/>
  <c r="N325" i="1"/>
  <c r="N328" i="1"/>
  <c r="N332" i="1"/>
  <c r="N334" i="1"/>
  <c r="N337" i="1"/>
  <c r="N340" i="1"/>
  <c r="N345" i="1"/>
  <c r="N348" i="1"/>
  <c r="N352" i="1"/>
  <c r="N354" i="1"/>
  <c r="N357" i="1"/>
  <c r="N360" i="1"/>
  <c r="N364" i="1"/>
  <c r="N368" i="1"/>
  <c r="N371" i="1"/>
  <c r="N376" i="1"/>
  <c r="N379" i="1"/>
  <c r="N381" i="1"/>
  <c r="N383" i="1"/>
  <c r="N386" i="1"/>
  <c r="N390" i="1"/>
  <c r="N480" i="1"/>
  <c r="I510" i="1"/>
  <c r="N495" i="1"/>
  <c r="O495" i="1" s="1"/>
  <c r="N516" i="1"/>
  <c r="O516" i="1" s="1"/>
  <c r="H520" i="1"/>
  <c r="I398" i="1"/>
  <c r="I437" i="1"/>
  <c r="M437" i="1"/>
  <c r="J437" i="1"/>
  <c r="M469" i="1"/>
  <c r="N305" i="1"/>
  <c r="N307" i="1"/>
  <c r="N309" i="1"/>
  <c r="N313" i="1"/>
  <c r="N322" i="1"/>
  <c r="N324" i="1"/>
  <c r="N327" i="1"/>
  <c r="N329" i="1"/>
  <c r="N333" i="1"/>
  <c r="N336" i="1"/>
  <c r="N339" i="1"/>
  <c r="N343" i="1"/>
  <c r="N347" i="1"/>
  <c r="N350" i="1"/>
  <c r="N353" i="1"/>
  <c r="N356" i="1"/>
  <c r="N358" i="1"/>
  <c r="N362" i="1"/>
  <c r="N367" i="1"/>
  <c r="N370" i="1"/>
  <c r="N372" i="1"/>
  <c r="N378" i="1"/>
  <c r="N380" i="1"/>
  <c r="N382" i="1"/>
  <c r="N384" i="1"/>
  <c r="N387" i="1"/>
  <c r="N391" i="1"/>
  <c r="N321" i="1"/>
  <c r="O321" i="1" s="1"/>
  <c r="I469" i="1"/>
  <c r="J510" i="1"/>
  <c r="N525" i="1"/>
  <c r="O525" i="1" s="1"/>
  <c r="N519" i="1"/>
  <c r="K533" i="1"/>
  <c r="N531" i="1"/>
  <c r="P536" i="1"/>
  <c r="P537" i="1" s="1"/>
  <c r="N537" i="1"/>
  <c r="N476" i="1"/>
  <c r="O476" i="1" s="1"/>
  <c r="N518" i="1"/>
  <c r="H527" i="1"/>
  <c r="N530" i="1"/>
  <c r="O530" i="1" s="1"/>
  <c r="O518" i="1" l="1"/>
  <c r="O387" i="1"/>
  <c r="O362" i="1"/>
  <c r="O336" i="1"/>
  <c r="O324" i="1"/>
  <c r="O307" i="1"/>
  <c r="O480" i="1"/>
  <c r="O354" i="1"/>
  <c r="O250" i="1"/>
  <c r="O226" i="1"/>
  <c r="O189" i="1"/>
  <c r="O86" i="1"/>
  <c r="O53" i="1"/>
  <c r="O97" i="1"/>
  <c r="O61" i="1"/>
  <c r="O384" i="1"/>
  <c r="O372" i="1"/>
  <c r="O358" i="1"/>
  <c r="O347" i="1"/>
  <c r="O333" i="1"/>
  <c r="O322" i="1"/>
  <c r="O305" i="1"/>
  <c r="O390" i="1"/>
  <c r="O379" i="1"/>
  <c r="O364" i="1"/>
  <c r="O352" i="1"/>
  <c r="O337" i="1"/>
  <c r="O325" i="1"/>
  <c r="O308" i="1"/>
  <c r="O296" i="1"/>
  <c r="O284" i="1"/>
  <c r="O271" i="1"/>
  <c r="O260" i="1"/>
  <c r="O246" i="1"/>
  <c r="O232" i="1"/>
  <c r="O222" i="1"/>
  <c r="O212" i="1"/>
  <c r="O195" i="1"/>
  <c r="O184" i="1"/>
  <c r="O172" i="1"/>
  <c r="O152" i="1"/>
  <c r="O142" i="1"/>
  <c r="N437" i="1"/>
  <c r="O233" i="1"/>
  <c r="O223" i="1"/>
  <c r="O213" i="1"/>
  <c r="O196" i="1"/>
  <c r="O185" i="1"/>
  <c r="O175" i="1"/>
  <c r="O157" i="1"/>
  <c r="O132" i="1"/>
  <c r="O526" i="1"/>
  <c r="O489" i="1"/>
  <c r="O457" i="1"/>
  <c r="O421" i="1"/>
  <c r="O394" i="1"/>
  <c r="O95" i="1"/>
  <c r="O83" i="1"/>
  <c r="O67" i="1"/>
  <c r="O51" i="1"/>
  <c r="O34" i="1"/>
  <c r="O432" i="1"/>
  <c r="O412" i="1"/>
  <c r="O427" i="1"/>
  <c r="O405" i="1"/>
  <c r="O498" i="1"/>
  <c r="O454" i="1"/>
  <c r="O459" i="1" s="1"/>
  <c r="O25" i="1"/>
  <c r="O91" i="1"/>
  <c r="O79" i="1"/>
  <c r="O52" i="1"/>
  <c r="O37" i="1"/>
  <c r="O28" i="1"/>
  <c r="O368" i="1"/>
  <c r="O328" i="1"/>
  <c r="O298" i="1"/>
  <c r="O275" i="1"/>
  <c r="O225" i="1"/>
  <c r="O197" i="1"/>
  <c r="O176" i="1"/>
  <c r="O128" i="1"/>
  <c r="O215" i="1"/>
  <c r="O160" i="1"/>
  <c r="O425" i="1"/>
  <c r="O98" i="1"/>
  <c r="O410" i="1"/>
  <c r="O468" i="1"/>
  <c r="O40" i="1"/>
  <c r="O519" i="1"/>
  <c r="O520" i="1" s="1"/>
  <c r="O382" i="1"/>
  <c r="O370" i="1"/>
  <c r="O356" i="1"/>
  <c r="O343" i="1"/>
  <c r="O329" i="1"/>
  <c r="O313" i="1"/>
  <c r="O386" i="1"/>
  <c r="O376" i="1"/>
  <c r="O360" i="1"/>
  <c r="O348" i="1"/>
  <c r="O334" i="1"/>
  <c r="O323" i="1"/>
  <c r="O306" i="1"/>
  <c r="O303" i="1"/>
  <c r="O294" i="1"/>
  <c r="O280" i="1"/>
  <c r="O268" i="1"/>
  <c r="O258" i="1"/>
  <c r="O243" i="1"/>
  <c r="O230" i="1"/>
  <c r="O219" i="1"/>
  <c r="O203" i="1"/>
  <c r="O193" i="1"/>
  <c r="O181" i="1"/>
  <c r="O170" i="1"/>
  <c r="O139" i="1"/>
  <c r="O231" i="1"/>
  <c r="O221" i="1"/>
  <c r="O204" i="1"/>
  <c r="O194" i="1"/>
  <c r="O182" i="1"/>
  <c r="O171" i="1"/>
  <c r="O155" i="1"/>
  <c r="O143" i="1"/>
  <c r="O124" i="1"/>
  <c r="O483" i="1"/>
  <c r="O434" i="1"/>
  <c r="O415" i="1"/>
  <c r="O92" i="1"/>
  <c r="O80" i="1"/>
  <c r="O63" i="1"/>
  <c r="O48" i="1"/>
  <c r="O428" i="1"/>
  <c r="O407" i="1"/>
  <c r="O422" i="1"/>
  <c r="O395" i="1"/>
  <c r="O486" i="1"/>
  <c r="O433" i="1"/>
  <c r="O21" i="1"/>
  <c r="O88" i="1"/>
  <c r="O72" i="1"/>
  <c r="O50" i="1"/>
  <c r="O32" i="1"/>
  <c r="O94" i="1"/>
  <c r="O531" i="1"/>
  <c r="O533" i="1" s="1"/>
  <c r="O378" i="1"/>
  <c r="O350" i="1"/>
  <c r="O381" i="1"/>
  <c r="O340" i="1"/>
  <c r="O310" i="1"/>
  <c r="O288" i="1"/>
  <c r="O262" i="1"/>
  <c r="O234" i="1"/>
  <c r="O214" i="1"/>
  <c r="O187" i="1"/>
  <c r="O156" i="1"/>
  <c r="O237" i="1"/>
  <c r="O198" i="1"/>
  <c r="O177" i="1"/>
  <c r="O136" i="1"/>
  <c r="O500" i="1"/>
  <c r="O510" i="1" s="1"/>
  <c r="O465" i="1"/>
  <c r="O70" i="1"/>
  <c r="O39" i="1"/>
  <c r="O436" i="1"/>
  <c r="O417" i="1"/>
  <c r="O437" i="1" s="1"/>
  <c r="O431" i="1"/>
  <c r="O504" i="1"/>
  <c r="O29" i="1"/>
  <c r="O82" i="1"/>
  <c r="O54" i="1"/>
  <c r="O527" i="1"/>
  <c r="O391" i="1"/>
  <c r="O380" i="1"/>
  <c r="O367" i="1"/>
  <c r="O353" i="1"/>
  <c r="O339" i="1"/>
  <c r="O327" i="1"/>
  <c r="O398" i="1" s="1"/>
  <c r="O309" i="1"/>
  <c r="O383" i="1"/>
  <c r="O371" i="1"/>
  <c r="O357" i="1"/>
  <c r="O345" i="1"/>
  <c r="O332" i="1"/>
  <c r="O314" i="1"/>
  <c r="O300" i="1"/>
  <c r="O290" i="1"/>
  <c r="O277" i="1"/>
  <c r="O266" i="1"/>
  <c r="O253" i="1"/>
  <c r="O239" i="1"/>
  <c r="O227" i="1"/>
  <c r="O217" i="1"/>
  <c r="O315" i="1" s="1"/>
  <c r="O201" i="1"/>
  <c r="O190" i="1"/>
  <c r="O178" i="1"/>
  <c r="O158" i="1"/>
  <c r="O135" i="1"/>
  <c r="O240" i="1"/>
  <c r="O229" i="1"/>
  <c r="O218" i="1"/>
  <c r="O202" i="1"/>
  <c r="O192" i="1"/>
  <c r="O179" i="1"/>
  <c r="O169" i="1"/>
  <c r="O205" i="1" s="1"/>
  <c r="O141" i="1"/>
  <c r="O114" i="1"/>
  <c r="O104" i="1"/>
  <c r="O477" i="1"/>
  <c r="O490" i="1" s="1"/>
  <c r="O443" i="1"/>
  <c r="O445" i="1" s="1"/>
  <c r="O430" i="1"/>
  <c r="O409" i="1"/>
  <c r="O122" i="1"/>
  <c r="O101" i="1"/>
  <c r="O89" i="1"/>
  <c r="O76" i="1"/>
  <c r="O58" i="1"/>
  <c r="O42" i="1"/>
  <c r="O423" i="1"/>
  <c r="O396" i="1"/>
  <c r="O416" i="1"/>
  <c r="O408" i="1"/>
  <c r="O99" i="1"/>
  <c r="O84" i="1"/>
  <c r="O68" i="1"/>
  <c r="O45" i="1"/>
  <c r="O64" i="1"/>
  <c r="O147" i="1"/>
  <c r="O150" i="1"/>
  <c r="O117" i="1"/>
  <c r="O113" i="1"/>
  <c r="O15" i="1"/>
  <c r="O119" i="1"/>
  <c r="O146" i="1"/>
  <c r="O108" i="1"/>
  <c r="O107" i="1"/>
  <c r="O13" i="1"/>
  <c r="O118" i="1"/>
  <c r="O110" i="1"/>
  <c r="O145" i="1"/>
  <c r="O106" i="1"/>
  <c r="O148" i="1"/>
  <c r="O149" i="1"/>
  <c r="O115" i="1"/>
  <c r="O105" i="1"/>
  <c r="O11" i="1"/>
  <c r="O116" i="1"/>
  <c r="N490" i="1"/>
  <c r="N533" i="1"/>
  <c r="N398" i="1"/>
  <c r="N520" i="1"/>
  <c r="N205" i="1"/>
  <c r="N527" i="1"/>
  <c r="N510" i="1"/>
  <c r="N315" i="1"/>
  <c r="N445" i="1"/>
  <c r="N163" i="1"/>
  <c r="O469" i="1" l="1"/>
  <c r="O163" i="1"/>
</calcChain>
</file>

<file path=xl/sharedStrings.xml><?xml version="1.0" encoding="utf-8"?>
<sst xmlns="http://schemas.openxmlformats.org/spreadsheetml/2006/main" count="1334" uniqueCount="1142">
  <si>
    <t>Утверждаю</t>
  </si>
  <si>
    <t>Директор ООО УК ЖКХ "Авиастроительного района"</t>
  </si>
  <si>
    <t>Смета расходов на шестнадцатиэтажный жилой дом с плоской крышей</t>
  </si>
  <si>
    <t>№ ПП</t>
  </si>
  <si>
    <t>КОД</t>
  </si>
  <si>
    <t>НАЗВАНИЕ РАБОТЫ</t>
  </si>
  <si>
    <t>ИЗМЕРИТЕЛЬ</t>
  </si>
  <si>
    <t>КОЛ-ВО ЕД. ИЗМ.</t>
  </si>
  <si>
    <t>ПЕРИОДИЧ- НОСТЬ В ГОД</t>
  </si>
  <si>
    <t>ТРУД. РЕСУРСЫ, РУБ.</t>
  </si>
  <si>
    <t>МАТЕР. РЕСУРСЫ, РУБ.</t>
  </si>
  <si>
    <t>МАШ. МЕХ., РУБ.</t>
  </si>
  <si>
    <t>НАКЛ. РАСХОДЫ, РУБ.</t>
  </si>
  <si>
    <t>ПРИБЫЛЬ, РУБ.</t>
  </si>
  <si>
    <t>РАСХОДЫ НА УПРАВ., РУБ.</t>
  </si>
  <si>
    <t>СТОИМОСТЬ, РУБ.</t>
  </si>
  <si>
    <t>НА КВ.М/МЕС</t>
  </si>
  <si>
    <t> Техническое обслуживание и ремонт жилого здания</t>
  </si>
  <si>
    <t>Дата изменения:</t>
  </si>
  <si>
    <t>Общая площадь, кв.м:</t>
  </si>
  <si>
    <t>1.1</t>
  </si>
  <si>
    <t>Фундаменты</t>
  </si>
  <si>
    <t>1.1.4</t>
  </si>
  <si>
    <t>Прочистка внутридомовых и наружных  дренажей</t>
  </si>
  <si>
    <t>1 пролет</t>
  </si>
  <si>
    <t>1.1.8</t>
  </si>
  <si>
    <t>Восстановление (ремонт)  решеток на  продухах  фундамента</t>
  </si>
  <si>
    <t>100 решеток</t>
  </si>
  <si>
    <t>1.1.9</t>
  </si>
  <si>
    <t>Восстановление (ремонт)  приямков</t>
  </si>
  <si>
    <t>кв.м. приямка</t>
  </si>
  <si>
    <t>1.1.10</t>
  </si>
  <si>
    <t>Восстановление (ремонт) отмостки</t>
  </si>
  <si>
    <t>100 м2 отмостки</t>
  </si>
  <si>
    <t>1.1.12</t>
  </si>
  <si>
    <t>Восстановление (ремонт) вводов инженерных коммуникаций   в подвальные  помещения  через  фундаменты</t>
  </si>
  <si>
    <t>100 шт.</t>
  </si>
  <si>
    <t>1.1.14</t>
  </si>
  <si>
    <t>Заделка на зиму вентиляционных продухов</t>
  </si>
  <si>
    <t>1 место</t>
  </si>
  <si>
    <t>1.2</t>
  </si>
  <si>
    <t>Кирпичные, каменные и железобетонные стены</t>
  </si>
  <si>
    <t>1.2.1</t>
  </si>
  <si>
    <t>Устранение повреждений стен, в том числе в подвалах и чердаках</t>
  </si>
  <si>
    <t>1.2.1.2</t>
  </si>
  <si>
    <t>Устранение  повреждений крупноблочных и панельных стен, в том  числе в  подвалах и  чердаках</t>
  </si>
  <si>
    <t>1.2.1.2.1</t>
  </si>
  <si>
    <t>Заделка отверстий в бетонных и железобетонных стенах и перегородках</t>
  </si>
  <si>
    <t>1.2.1.2.1.1</t>
  </si>
  <si>
    <t>Заделка отверстий в бетонных и железобетонных стенах и перегородках с площадью отверстий до 0,1 кв.м и глубиной до 100 мм</t>
  </si>
  <si>
    <t>100 отверстий</t>
  </si>
  <si>
    <t>1.2.3</t>
  </si>
  <si>
    <t>Модернизация теплоизоляции стен</t>
  </si>
  <si>
    <t>1.2.3.2</t>
  </si>
  <si>
    <t>Устройство теплоизоляции фасадов зданий, теплоизоляция плитами из пенополистирола на клее с креплением дюбелями с лесов при толщине утеплителя 100 мм (по кирпичу и бетону)</t>
  </si>
  <si>
    <t>100 м2</t>
  </si>
  <si>
    <t>1.2.4</t>
  </si>
  <si>
    <t>Создание,  восстановление или модернизация гидроизоляции стен</t>
  </si>
  <si>
    <t>1.2.4.2</t>
  </si>
  <si>
    <t>Восстановление  горизонтальной гидроизоляции с использованием рулонных материалов и мастик вручную</t>
  </si>
  <si>
    <t>100 м2 сменяемого покрытия</t>
  </si>
  <si>
    <t>1.2.9</t>
  </si>
  <si>
    <t>Восстановление (ремонт) разрушений и  повреждений отделочного   слоя</t>
  </si>
  <si>
    <t>1.2.9.4</t>
  </si>
  <si>
    <t>Ремонт обыкновенной штукатурки кирпичных и бетонных фасадов</t>
  </si>
  <si>
    <t>1.2.9.4.1</t>
  </si>
  <si>
    <t>Ремонт обыкновенной штукатурки гладких каменных фасадов</t>
  </si>
  <si>
    <t>100 м2 отремонтированной поверхности</t>
  </si>
  <si>
    <t>1.2.9.4.2</t>
  </si>
  <si>
    <t>Ремонт обыкновенной штукатурки гладких бетонных  фасадов</t>
  </si>
  <si>
    <t>1.2.11</t>
  </si>
  <si>
    <t>Герметизация, теплоизоляция межпанельных и иных швов</t>
  </si>
  <si>
    <t>1.2.11.1</t>
  </si>
  <si>
    <t>Заделка и герметизация швов и стыков</t>
  </si>
  <si>
    <t>1.2.11.1.2</t>
  </si>
  <si>
    <t>Заделка и герметизация швов и стыков в местах примыкания балконных плит к стенам</t>
  </si>
  <si>
    <t>на 10 м шва (стыка)</t>
  </si>
  <si>
    <t>1.2.11.5</t>
  </si>
  <si>
    <t>Ремонт и восстановление герметизации горизонтальных и вертикальных стыков стеновых панелей</t>
  </si>
  <si>
    <t>1.2.11.5.1</t>
  </si>
  <si>
    <t>Ремонт и восстановление герметизации горизонтальных и вертикальных стыков стеновых панелей мастикой вулканизирующейся тиоколовой или монтажной пеной</t>
  </si>
  <si>
    <t>100 м восстановленной герметизации стыков</t>
  </si>
  <si>
    <t>1.2.12</t>
  </si>
  <si>
    <t>Окраска  фасадов</t>
  </si>
  <si>
    <t>1.2.12.4</t>
  </si>
  <si>
    <t>Окрашивание фасадов силикатными красками</t>
  </si>
  <si>
    <t>1.2.12.4.1</t>
  </si>
  <si>
    <t>Окрашивание гладких кирпичных фасадов силикатными красками</t>
  </si>
  <si>
    <t>100 м2 обработанной поверхности</t>
  </si>
  <si>
    <t>1.2.13</t>
  </si>
  <si>
    <t>Устранение причин и  последствий коррозионного повреждения закладных деталей и арматуры</t>
  </si>
  <si>
    <t>1.2.13.2</t>
  </si>
  <si>
    <t>Удаление железистых включений</t>
  </si>
  <si>
    <t>100 железистых включений</t>
  </si>
  <si>
    <t>1.2.13.4</t>
  </si>
  <si>
    <t>Оштукатуривание  участков с обнаженной арматурой и закладными деталями бетонных  стен</t>
  </si>
  <si>
    <t>1.2.15</t>
  </si>
  <si>
    <t>Восстановление (ремонт) стальных деталей крепления (кронштейны  пожарных  лестниц,  флагодержатели и др.)</t>
  </si>
  <si>
    <t>1.2.15.1</t>
  </si>
  <si>
    <t>Замена кронштейнов пожарных лестниц</t>
  </si>
  <si>
    <t>100 креплений</t>
  </si>
  <si>
    <t>1.2.16</t>
  </si>
  <si>
    <t>Защита стальных элементов от коррозии (поясков, выступов, парапетов, оконных и балконных отливов, закладных деталей)</t>
  </si>
  <si>
    <t>1.2.16.1</t>
  </si>
  <si>
    <t>Окраска алюминиевым порошком ранее окрашенных металлических поверхностей</t>
  </si>
  <si>
    <t>1.2.16.1.6</t>
  </si>
  <si>
    <t>Окраска алюминиевым порошком ранее окрашенных металлических поверхностей за 2 раза с подвесных люлек</t>
  </si>
  <si>
    <t>100 м2 окрашенной поверхности</t>
  </si>
  <si>
    <t>1.2.17</t>
  </si>
  <si>
    <t>Окраска стен  помещений  общего  пользования</t>
  </si>
  <si>
    <t>1.2.17.4</t>
  </si>
  <si>
    <t>Окрашивание поверхностей стен водоэмульсионными составами</t>
  </si>
  <si>
    <t>1.2.17.4.3</t>
  </si>
  <si>
    <t>Окрашивание водоэмульсионными составами поверхностей стен, ранее окрашенных водоэмульсионной краской с расчисткой старой краски более 35%</t>
  </si>
  <si>
    <t>100 м2 окрашиваемой поверхности</t>
  </si>
  <si>
    <t>1.2.18</t>
  </si>
  <si>
    <t>Внутренняя отделка зданий</t>
  </si>
  <si>
    <t>1.2.18.1</t>
  </si>
  <si>
    <t>Ремонт внутренней штукатурки потолков отдельными местами</t>
  </si>
  <si>
    <t>100 кв. м</t>
  </si>
  <si>
    <t>1.2.18.3</t>
  </si>
  <si>
    <t>Перетирка штукатурки поверхности потолков</t>
  </si>
  <si>
    <t>100 кв.м</t>
  </si>
  <si>
    <t>1.2.18.11</t>
  </si>
  <si>
    <t>Окрашивание водоэмульсионными составами поверхностей потолков, ранее окрашенных водоэмульсионной краской с расчисткой старой краски более 35%</t>
  </si>
  <si>
    <t>1.2.18.12</t>
  </si>
  <si>
    <t>Перетирка штукатурки поверхностей стен и перегородок</t>
  </si>
  <si>
    <t>100 м2 поверхности</t>
  </si>
  <si>
    <t>1.2.19</t>
  </si>
  <si>
    <t>Установка групповых металлических почтовых ящиков на 6 отделений</t>
  </si>
  <si>
    <t>1 ящик</t>
  </si>
  <si>
    <t>1.5</t>
  </si>
  <si>
    <t>Перекрытия</t>
  </si>
  <si>
    <t>1.5.1</t>
  </si>
  <si>
    <t>Устранение  повреждений перекрытий</t>
  </si>
  <si>
    <t>1.5.1.2</t>
  </si>
  <si>
    <t>Заделка борозд в бетонных перекрытиях</t>
  </si>
  <si>
    <t>1.5.1.2.3</t>
  </si>
  <si>
    <t>Заделка борозд на потолках  бетонных перекрытий при сечении 10х10</t>
  </si>
  <si>
    <t>1 м3 заделки</t>
  </si>
  <si>
    <t>1.6</t>
  </si>
  <si>
    <t>Полы</t>
  </si>
  <si>
    <t>1.6.1</t>
  </si>
  <si>
    <t>Устранение  повреждений  полов в  местах  общего  пользования  многоквартирного дома</t>
  </si>
  <si>
    <t>1.6.1.1</t>
  </si>
  <si>
    <t>Заделка выбоин в цементных полах</t>
  </si>
  <si>
    <t>кв.м.</t>
  </si>
  <si>
    <t>1.6.4</t>
  </si>
  <si>
    <t>Ремонт полов</t>
  </si>
  <si>
    <t>1.6.4.4</t>
  </si>
  <si>
    <t>Ремонт бетонных полов</t>
  </si>
  <si>
    <t>1.6.4.5</t>
  </si>
  <si>
    <t>Ремонт поверхности цементных полов</t>
  </si>
  <si>
    <t>1.7</t>
  </si>
  <si>
    <t>Перегородки</t>
  </si>
  <si>
    <t>1.7.1</t>
  </si>
  <si>
    <t>Восстановление (ремонт),  модернизация  звукоизоляционных  свойств   перегородок</t>
  </si>
  <si>
    <t>1.7.1.5</t>
  </si>
  <si>
    <t>Заделка трещин, отверстий в кирпичных перегородках цементным раствором</t>
  </si>
  <si>
    <t>10 м трещин</t>
  </si>
  <si>
    <t>1.7.1.8</t>
  </si>
  <si>
    <t>Смена поврежденной обшивки перегородок звукоизоляционными плитами</t>
  </si>
  <si>
    <t>100 кв.м.</t>
  </si>
  <si>
    <t>1.7.4</t>
  </si>
  <si>
    <t>Устранение  повреждений  перегородок,  ликвидация  излишнего  наклона или  выпучивания  перегородок</t>
  </si>
  <si>
    <t>1.7.4.7</t>
  </si>
  <si>
    <t>Укрепление слабодержащихся кирпичей</t>
  </si>
  <si>
    <t> 1 м2  отремонтированной поверхности </t>
  </si>
  <si>
    <t>1.7.5</t>
  </si>
  <si>
    <t>Восстановление  облицовки  перегородок</t>
  </si>
  <si>
    <t>1.7.5.7</t>
  </si>
  <si>
    <t>Восстановление (ремонт) штукатурки кирпичных, железобетонных и гипсокартонных перегородок цементно-известковым раствором площадью отдельных мест до 1 кв.м.</t>
  </si>
  <si>
    <t>1.8</t>
  </si>
  <si>
    <t>Крыши и кровли</t>
  </si>
  <si>
    <t>1.8.1</t>
  </si>
  <si>
    <t>Устранение протечек кровли</t>
  </si>
  <si>
    <t>1.8.1.3</t>
  </si>
  <si>
    <t>Устранение  протечек рулонной кровли</t>
  </si>
  <si>
    <t>1.8.1.3.1</t>
  </si>
  <si>
    <t>Постановка заплат на покрытия из мягкой кровли</t>
  </si>
  <si>
    <t>100 м2 покрытий</t>
  </si>
  <si>
    <t>1.8.2</t>
  </si>
  <si>
    <t>Ремонт, модернизация кровли и крыши</t>
  </si>
  <si>
    <t>1.8.2.2</t>
  </si>
  <si>
    <t>Ремонт, модернизация рулонной кровли</t>
  </si>
  <si>
    <t>1.8.2.2.1</t>
  </si>
  <si>
    <t>Смена мягкой кровли в два слоя отдельными местами</t>
  </si>
  <si>
    <t>1.8.2.2.2</t>
  </si>
  <si>
    <t>Смена стальных разжелобков в рулонных  кровлях</t>
  </si>
  <si>
    <t>100 м разжелобка</t>
  </si>
  <si>
    <t>1.8.6</t>
  </si>
  <si>
    <t>Восстановление (ремонт)  продухов  вентиляции</t>
  </si>
  <si>
    <t>1.8.6.1</t>
  </si>
  <si>
    <t>Смена вентиляционной решетки</t>
  </si>
  <si>
    <t>10 решеток</t>
  </si>
  <si>
    <t>1.8.6.2</t>
  </si>
  <si>
    <t>Ремонт продухов вентиляции</t>
  </si>
  <si>
    <t>1.8.6.3</t>
  </si>
  <si>
    <t>Окраска продухов вентиляции</t>
  </si>
  <si>
    <t>1.8.7</t>
  </si>
  <si>
    <t>Восстановление (ремонт) дымовых и  вентиляционных труб</t>
  </si>
  <si>
    <t>1.8.7.6</t>
  </si>
  <si>
    <t>Оштукатуривание поверхности дымовых труб</t>
  </si>
  <si>
    <t xml:space="preserve">100 м2 поверхности </t>
  </si>
  <si>
    <t>1.8.9</t>
  </si>
  <si>
    <t>Восстановление (ремонт) выходов на крышу</t>
  </si>
  <si>
    <t>1.8.9.1</t>
  </si>
  <si>
    <t>Окраска масляными составами ранее окрашенных металлических лестниц и дверей на крышу за 1 раз</t>
  </si>
  <si>
    <t>1.8.9.3</t>
  </si>
  <si>
    <t>Ремонт поверхности кирпичных стен с расшивкой швов и толщиной заделки до 1/2 кирпича</t>
  </si>
  <si>
    <t>1.8.10</t>
  </si>
  <si>
    <t>Восстановление (ремонт) парапетов, архитектурных деталей и т.д.</t>
  </si>
  <si>
    <t>1.8.10.1</t>
  </si>
  <si>
    <t>Смена покрытия  парапетов или брандмауэров без обделки боковых сторон при ширине покрытия до 1 м</t>
  </si>
  <si>
    <t>100 м</t>
  </si>
  <si>
    <t>1.8.10.3</t>
  </si>
  <si>
    <t>Смена покрытия   зонтов и козырьков над крыльцами и подъездами</t>
  </si>
  <si>
    <t>100 м2 объема работ</t>
  </si>
  <si>
    <t>1.8.12</t>
  </si>
  <si>
    <t>Ремонт примыканий и заделка стыков</t>
  </si>
  <si>
    <t>1.8.12.1</t>
  </si>
  <si>
    <t>Смена обделок примыканий из листовой стали к каменным стенам</t>
  </si>
  <si>
    <t>1.8.12.4</t>
  </si>
  <si>
    <t>Смена обделок примыканий из листовой стали к  вытяжным  трубам длиной до 1 м</t>
  </si>
  <si>
    <t>100 труб</t>
  </si>
  <si>
    <t>1.8.13</t>
  </si>
  <si>
    <t>Ремонт, утепление дверей с лестничных площадок на чердак</t>
  </si>
  <si>
    <t>1.8.13.1</t>
  </si>
  <si>
    <t>Масляная окраска ранее окрашенных поверхностей</t>
  </si>
  <si>
    <t>1.8.13.2</t>
  </si>
  <si>
    <t>Восстановление тепловой изоляции дверей</t>
  </si>
  <si>
    <t>100 дверей</t>
  </si>
  <si>
    <t>1.8.13.3</t>
  </si>
  <si>
    <t>Замена обивки дверей стальным листом</t>
  </si>
  <si>
    <t>100  м2 двери</t>
  </si>
  <si>
    <t>1.8.14</t>
  </si>
  <si>
    <t>Утепление кровли</t>
  </si>
  <si>
    <t>1.8.14.2</t>
  </si>
  <si>
    <t>Утепление покрытий плитами из минеральной ваты или перлита на битумной мастике на каждый последующий слой толщиной 50 мм</t>
  </si>
  <si>
    <t>100 кв.м утепляемой поверхности</t>
  </si>
  <si>
    <t>1.9</t>
  </si>
  <si>
    <t>Оконные и дверные проемы</t>
  </si>
  <si>
    <t>1.9.1</t>
  </si>
  <si>
    <t>Восстановление (ремонт) дверей в помещениях  общего  пользования</t>
  </si>
  <si>
    <t>1.9.1.4</t>
  </si>
  <si>
    <t>Ремонт дверных коробок в узких каменных стенах</t>
  </si>
  <si>
    <t>10 коробок</t>
  </si>
  <si>
    <t>1.9.1.10</t>
  </si>
  <si>
    <t>Смена дверных петель при одной сменяемой петле в полотне</t>
  </si>
  <si>
    <t>10 петель</t>
  </si>
  <si>
    <t>1.9.1.11</t>
  </si>
  <si>
    <t>Смена дверных петель при двух сменяемых петлях в полотне</t>
  </si>
  <si>
    <t>1.9.1.15</t>
  </si>
  <si>
    <t>Укрепление наличников дверных проемов</t>
  </si>
  <si>
    <t>1 п.м. наличника</t>
  </si>
  <si>
    <t>1.9.1.17</t>
  </si>
  <si>
    <t>Смена ручки дверной</t>
  </si>
  <si>
    <t>1 ручка</t>
  </si>
  <si>
    <t>1.9.1.18</t>
  </si>
  <si>
    <t>Смена щеколды</t>
  </si>
  <si>
    <t>100 щеколд</t>
  </si>
  <si>
    <t>1.9.1.19</t>
  </si>
  <si>
    <t>Смена замков накладных</t>
  </si>
  <si>
    <t>100 замков</t>
  </si>
  <si>
    <t>1.9.1.20</t>
  </si>
  <si>
    <t>Смена замков врезных</t>
  </si>
  <si>
    <t>1.9.2</t>
  </si>
  <si>
    <t>Восстановление (ремонт)  окон в  помещениях общего  пользования</t>
  </si>
  <si>
    <t>1.9.2.4</t>
  </si>
  <si>
    <t>Ремонт оконных переплетов узких одинарных коробок</t>
  </si>
  <si>
    <t>10 створок</t>
  </si>
  <si>
    <t>1.9.2.11</t>
  </si>
  <si>
    <t>Смена оконных петель при двух сменяемых петлях в створке</t>
  </si>
  <si>
    <t>1.9.2.22</t>
  </si>
  <si>
    <t>Временная замена разбитого стекла фанерой</t>
  </si>
  <si>
    <t>10 кв.м.</t>
  </si>
  <si>
    <t>1.9.2.23</t>
  </si>
  <si>
    <t>Смена ручки оконной</t>
  </si>
  <si>
    <t>100 ручек</t>
  </si>
  <si>
    <t>1.9.2.24</t>
  </si>
  <si>
    <t>Смена задвижки</t>
  </si>
  <si>
    <t>100 задвижек</t>
  </si>
  <si>
    <t>1.9.2.26</t>
  </si>
  <si>
    <t>Улучшенная масляная окраска оконных рам</t>
  </si>
  <si>
    <t>1.9.2.33</t>
  </si>
  <si>
    <t>Остекление оконным стеклом окон в два переплета открывающихся в одну сторону</t>
  </si>
  <si>
    <t>100 м2 площади проемов по наружному обводу коробок</t>
  </si>
  <si>
    <t>1.10</t>
  </si>
  <si>
    <t>Лестницы</t>
  </si>
  <si>
    <t>1.10.1</t>
  </si>
  <si>
    <t>Ремонт  металлических косоуров</t>
  </si>
  <si>
    <t>1.10.1.2</t>
  </si>
  <si>
    <t>Оштукатуривание металлических косоуров</t>
  </si>
  <si>
    <t>100 м2 оштукатуренной поверхности</t>
  </si>
  <si>
    <t>1.10.3</t>
  </si>
  <si>
    <t>Ремонт  ограждений,  поручней и  предохранительных  сеток</t>
  </si>
  <si>
    <t>1.10.3.1</t>
  </si>
  <si>
    <t>Ремонт металлических лестничных решеток</t>
  </si>
  <si>
    <t>100 м решетки</t>
  </si>
  <si>
    <t>1.10.4</t>
  </si>
  <si>
    <t>Ремонт,  замена  перил</t>
  </si>
  <si>
    <t>1.10.4.1</t>
  </si>
  <si>
    <t>Смена отдельных частей поручней</t>
  </si>
  <si>
    <t>1.10.4.1.1</t>
  </si>
  <si>
    <t>Смена прямых  частей поручней</t>
  </si>
  <si>
    <t>1.10.4.1.2</t>
  </si>
  <si>
    <t>Смена закругленных  частей поручней</t>
  </si>
  <si>
    <t>1.10.5</t>
  </si>
  <si>
    <t>Окраска  металлических  элементов  лестниц</t>
  </si>
  <si>
    <t>1.10.5.2</t>
  </si>
  <si>
    <t>Окраска масляными составами ранее окрашенных металлических решеток без рельефа за 2 раза</t>
  </si>
  <si>
    <t xml:space="preserve"> 100 м2 окрашиваемой поверхности</t>
  </si>
  <si>
    <t>1.10.6</t>
  </si>
  <si>
    <t>Ремонт  пандусов</t>
  </si>
  <si>
    <t>1.10.6.1</t>
  </si>
  <si>
    <t>Заделка трещин и мелких выбоин</t>
  </si>
  <si>
    <t>100 мест</t>
  </si>
  <si>
    <t>1.10.7</t>
  </si>
  <si>
    <t>Прочие работы по ремонту лестниц</t>
  </si>
  <si>
    <t>1.10.7.1</t>
  </si>
  <si>
    <t>Окрашивание масляными составами торцов лестничных маршей и площадок</t>
  </si>
  <si>
    <t>1.10.7.2</t>
  </si>
  <si>
    <t>Окрашивание масляными составами деревянных поручней</t>
  </si>
  <si>
    <t>100  м поручня</t>
  </si>
  <si>
    <t>1.10.7.3</t>
  </si>
  <si>
    <t>Заделка выбоин в каменных ступенях</t>
  </si>
  <si>
    <t>100 м2 заделанной поверхности</t>
  </si>
  <si>
    <t>2.6</t>
  </si>
  <si>
    <t>Подготовка многоквартирного дома к сезонной эксплуатации, проведение технических осмотров</t>
  </si>
  <si>
    <t>2.6.3</t>
  </si>
  <si>
    <t>Замена разбитых стекол окон и дверей в помещениях общего пользования</t>
  </si>
  <si>
    <t>2.6.3.4</t>
  </si>
  <si>
    <t>Смена стекол на штапиках по замазке</t>
  </si>
  <si>
    <t>100 м фальца</t>
  </si>
  <si>
    <t>2.6.6</t>
  </si>
  <si>
    <t>Проверка состояния и ремонт продухов в цоколях зданий</t>
  </si>
  <si>
    <t>2.6.6.1</t>
  </si>
  <si>
    <t>Оштукатуривание продухов</t>
  </si>
  <si>
    <t xml:space="preserve">  1 м2 ремонтируемой поверхности</t>
  </si>
  <si>
    <t>2.6.6.2</t>
  </si>
  <si>
    <t>Перетирка штукатурки поверхностей</t>
  </si>
  <si>
    <t>2.6.6.3</t>
  </si>
  <si>
    <t>Окраска  продухов</t>
  </si>
  <si>
    <t>100 м2 ремонтируемой поверхности</t>
  </si>
  <si>
    <t>2.6.8</t>
  </si>
  <si>
    <t>Проведение технических осмотров и мелкий ремонт стен, полов, перекрытий</t>
  </si>
  <si>
    <t>2.6.8.1</t>
  </si>
  <si>
    <t>Осмотр территории вокруг здания и фундамента</t>
  </si>
  <si>
    <t>1000 кв.м. общей площади</t>
  </si>
  <si>
    <t>2.6.8.2</t>
  </si>
  <si>
    <t>Осмотр кирпичных и железобетонных стен, фасадов</t>
  </si>
  <si>
    <t>2.6.8.6</t>
  </si>
  <si>
    <t>Осмотр железобетонных перекрытий</t>
  </si>
  <si>
    <t>1000 кв.м. полов</t>
  </si>
  <si>
    <t>2.6.8.7</t>
  </si>
  <si>
    <t>Осмотр железобетонных покрытий</t>
  </si>
  <si>
    <t>2.6.8.8</t>
  </si>
  <si>
    <t>Осмотр внутренней отделки стен</t>
  </si>
  <si>
    <t>2.6.8.9</t>
  </si>
  <si>
    <t>Осмотр заполнения дверных и оконных проемов</t>
  </si>
  <si>
    <t>2.6.9</t>
  </si>
  <si>
    <t>Осмотр всех элементов кровли, водостоков</t>
  </si>
  <si>
    <t>2.6.9.2</t>
  </si>
  <si>
    <t>Осмотр всех элементов рулонных кровель, водостоков</t>
  </si>
  <si>
    <t>1000 кв.м. кровли</t>
  </si>
  <si>
    <t>3.2</t>
  </si>
  <si>
    <t>Уборка земельного участка, входящего в состав общего имущества многоквартирного дома</t>
  </si>
  <si>
    <t>3.2.4</t>
  </si>
  <si>
    <t>Подрезка деревьев и кустов</t>
  </si>
  <si>
    <t>3.2.4.1</t>
  </si>
  <si>
    <t>Формовочная обрезка деревьев высотой более 5 м</t>
  </si>
  <si>
    <t>100 деревьев</t>
  </si>
  <si>
    <t>3.2.4.2</t>
  </si>
  <si>
    <t>Вырезка сухих ветвей и поросли</t>
  </si>
  <si>
    <t>3.2.4.4</t>
  </si>
  <si>
    <t>Формирование кроны кустарников</t>
  </si>
  <si>
    <t>1000 кустов</t>
  </si>
  <si>
    <t>3.2.4.7</t>
  </si>
  <si>
    <t>Формовочная обрезка деревьев высотой до 5 м</t>
  </si>
  <si>
    <t>3.2.9</t>
  </si>
  <si>
    <t>Очистка кровли</t>
  </si>
  <si>
    <t>3.2.9.2</t>
  </si>
  <si>
    <t>Очистка кровли от снега, сбивание сосулек (при толщине слоя до 20 см) с парапетов</t>
  </si>
  <si>
    <t>100 кв.м. кровли</t>
  </si>
  <si>
    <t>Плановый ремонт подъездов</t>
  </si>
  <si>
    <t>Ремонт подъездов</t>
  </si>
  <si>
    <t>м2</t>
  </si>
  <si>
    <t>ИТОГО:</t>
  </si>
  <si>
    <t>Техническое обслуживание и ремонт внутридомовых систем электроснабжения и электрооборудования</t>
  </si>
  <si>
    <t>1.1.7</t>
  </si>
  <si>
    <t>Восстановление (ремонт)  освещения и  вентиляции  подвала</t>
  </si>
  <si>
    <t>1.1.7.2</t>
  </si>
  <si>
    <t>Замена неисправных участков сети электрической сети (открытая проводка) при числе и сечении жил в проводе 2х1,5 и 2х2,5 кв.м</t>
  </si>
  <si>
    <t>100 пог.м</t>
  </si>
  <si>
    <t>1.1.7.3</t>
  </si>
  <si>
    <t>Замена ламп накаливания</t>
  </si>
  <si>
    <t>1.1.7.4</t>
  </si>
  <si>
    <t>Замена выключателей</t>
  </si>
  <si>
    <t>1.1.7.5</t>
  </si>
  <si>
    <t>Замена патронов</t>
  </si>
  <si>
    <t>1.1.7.7</t>
  </si>
  <si>
    <t>Замена неисправных участков сети электрической сети (открытая проводка) при числе и сечении жил в проводе 3х2,5 кв.м</t>
  </si>
  <si>
    <t>100 пог. м</t>
  </si>
  <si>
    <t>2.5</t>
  </si>
  <si>
    <t>Внутридомовое электро-, радио- и телеоборудование</t>
  </si>
  <si>
    <t>2.5.1</t>
  </si>
  <si>
    <t>Ремонт,  замена  шкафов  вводных и  вводно-распределительных устройств</t>
  </si>
  <si>
    <t>2.5.1.2</t>
  </si>
  <si>
    <t>Замена автоматического выключателя</t>
  </si>
  <si>
    <t>1 автоматический выключатель</t>
  </si>
  <si>
    <t>2.5.1.4</t>
  </si>
  <si>
    <t>Замена предохранителя</t>
  </si>
  <si>
    <t>1 предохранитель</t>
  </si>
  <si>
    <t>2.5.1.5</t>
  </si>
  <si>
    <t>Замена рубильника</t>
  </si>
  <si>
    <t>1 рубильник</t>
  </si>
  <si>
    <t>2.5.1.8</t>
  </si>
  <si>
    <t>Замена магнитного пускателя</t>
  </si>
  <si>
    <t>1 пускатель</t>
  </si>
  <si>
    <t>2.5.1.10</t>
  </si>
  <si>
    <t>Ремонт устройства автоматического выключения резерва</t>
  </si>
  <si>
    <t>1 устройство АВР</t>
  </si>
  <si>
    <t>2.5.2</t>
  </si>
  <si>
    <t>Ремонт,  замена  аппаратуры  защиты,  контроля и   управления  общего  пользования</t>
  </si>
  <si>
    <t>2.5.2.1</t>
  </si>
  <si>
    <t>Ремонт грозозащитного устройства</t>
  </si>
  <si>
    <t>1 устройство</t>
  </si>
  <si>
    <t>2.5.2.5</t>
  </si>
  <si>
    <t>Замена автомата</t>
  </si>
  <si>
    <t>1 автомат</t>
  </si>
  <si>
    <t>2.5.3</t>
  </si>
  <si>
    <t>Ремонт  внутридомового электрооборудования  общего  пользования</t>
  </si>
  <si>
    <t>2.5.3.1</t>
  </si>
  <si>
    <t>Замена электромагнитного контактора</t>
  </si>
  <si>
    <t>1 контактор</t>
  </si>
  <si>
    <t>2.5.4</t>
  </si>
  <si>
    <t>Ремонт, замена  внутридомовых электрических сетей</t>
  </si>
  <si>
    <t>1000 пог.м.</t>
  </si>
  <si>
    <t>2.5.5</t>
  </si>
  <si>
    <t>Ремонт, замена этажных  щитков и  шкафов</t>
  </si>
  <si>
    <t>2.5.5.2</t>
  </si>
  <si>
    <t>Ремонт щитков</t>
  </si>
  <si>
    <t>1 щит</t>
  </si>
  <si>
    <t>2.5.6</t>
  </si>
  <si>
    <t>Ремонт,  замена  приборов  учета и регулирования общего   пользования</t>
  </si>
  <si>
    <t>2.5.6.8</t>
  </si>
  <si>
    <t>Обслуживание однофазных счетчиков электроэнергии</t>
  </si>
  <si>
    <t>100 счетчиков</t>
  </si>
  <si>
    <t>2.5.6.9</t>
  </si>
  <si>
    <t>Обслуживание трехфазных счетчиков электроэнергии</t>
  </si>
  <si>
    <t>2.5.7</t>
  </si>
  <si>
    <t>Ремонт,  замена  осветительных установок  помещений   общего  пользования</t>
  </si>
  <si>
    <t>2.5.7.1</t>
  </si>
  <si>
    <t>Замена выключателя</t>
  </si>
  <si>
    <t>1 выключатель</t>
  </si>
  <si>
    <t>2.5.7.2</t>
  </si>
  <si>
    <t>Замена светильника с лампами накаливания или энергосберегающими лампами</t>
  </si>
  <si>
    <t>1 светильник</t>
  </si>
  <si>
    <t>2.5.7.4</t>
  </si>
  <si>
    <t>Ремонт светильника с лампами накаливания или энергосберегающими лампами</t>
  </si>
  <si>
    <t>2.5.7.6</t>
  </si>
  <si>
    <t>Замена лампы накаливания на энергосберегательную</t>
  </si>
  <si>
    <t>1 лампа</t>
  </si>
  <si>
    <t>2.5.7.8</t>
  </si>
  <si>
    <t>Замена светильника на светильник светодиодный с датчиком движения</t>
  </si>
  <si>
    <t>2.5.7.9</t>
  </si>
  <si>
    <t>Замена светильника на светодиодный светильник</t>
  </si>
  <si>
    <t>2.5.9</t>
  </si>
  <si>
    <t>Ремонт штепсельных розеток и выключателей</t>
  </si>
  <si>
    <t>100 розеток (выключателей)</t>
  </si>
  <si>
    <t>2.6.13</t>
  </si>
  <si>
    <t>Проведение технических осмотров и устранение незначительных неисправностей в   электротехнических устройствах</t>
  </si>
  <si>
    <t>2.6.13.1</t>
  </si>
  <si>
    <t>Осмотр  электросети, арматуры, электрооборудования на лестничных клетках</t>
  </si>
  <si>
    <t>100 лестничных площадок</t>
  </si>
  <si>
    <t>2.6.13.3</t>
  </si>
  <si>
    <t>Проверка изоляции электропроводки и ее укрепление</t>
  </si>
  <si>
    <t>2.6.13.4</t>
  </si>
  <si>
    <t>Проверка заземления оболочки электрокабеля</t>
  </si>
  <si>
    <t>2.6.13.5</t>
  </si>
  <si>
    <t>Замеры сопротивления изоляции проводов</t>
  </si>
  <si>
    <t xml:space="preserve">измерение 1         </t>
  </si>
  <si>
    <t>Техническое обслуживание внутридомовых систем водоснабжения и канализации</t>
  </si>
  <si>
    <t>2.2</t>
  </si>
  <si>
    <t>Системы холодного и горячего водоснабжения</t>
  </si>
  <si>
    <t>2.2.1</t>
  </si>
  <si>
    <t>Ремонт,  замена  внутридомовых сетей водоснабжения</t>
  </si>
  <si>
    <t>2.2.1.2</t>
  </si>
  <si>
    <t>Смена отдельных участков трубопроводов  водоснабжения из стальных водогазопроводных оцинкованных труб при соединении труб  на сварке</t>
  </si>
  <si>
    <t>2.2.1.2.1</t>
  </si>
  <si>
    <t>Смена отдельных участков трубопроводов водоснабжения из стальных водогазопроводных оцинкованных труб диаметром 40 мм</t>
  </si>
  <si>
    <t>100 м трубопроводов</t>
  </si>
  <si>
    <t>2.2.1.2.2</t>
  </si>
  <si>
    <t>Смена отдельных участков трубопроводов  водоснабжения из стальных водогазопроводных оцинкованных труб диаметром 50 мм</t>
  </si>
  <si>
    <t>2.2.1.2.3</t>
  </si>
  <si>
    <t>Смена отдельных участков трубопроводов  водоснабжения из стальных водогазопроводных оцинкованных труб диаметром 65 мм</t>
  </si>
  <si>
    <t>2.2.1.2.4</t>
  </si>
  <si>
    <t>Смена отдельных участков трубопроводов  водоснабжения из стальных водогазопроводных оцинкованных труб диаметром 80 мм</t>
  </si>
  <si>
    <t>2.2.1.2.5</t>
  </si>
  <si>
    <t>Смена отдельных участков трубопроводов  водоснабжения из стальных водогазопроводных оцинкованных труб диаметром 100 мм</t>
  </si>
  <si>
    <t>2.2.1.6</t>
  </si>
  <si>
    <t>Временная заделка свищей и трещин на внутренних трубопроводах и стояках</t>
  </si>
  <si>
    <t>2.2.1.6.1</t>
  </si>
  <si>
    <t>Временная заделка свищей и трещин на внутренних трубопроводах и стояках при диаметре трубопровода до 50 мм</t>
  </si>
  <si>
    <t>2.2.1.6.2</t>
  </si>
  <si>
    <t>Временная заделка свищей и трещин на внутренних трубопроводах и стояках при диаметре трубопровода до 75 мм</t>
  </si>
  <si>
    <t>2.2.1.6.3</t>
  </si>
  <si>
    <t>Временная заделка свищей и трещин на внутренних трубопроводах и стояках при диаметре трубопровода до 100 мм</t>
  </si>
  <si>
    <t>2.2.1.7</t>
  </si>
  <si>
    <t>Смена сгонов у трубопроводов</t>
  </si>
  <si>
    <t>2.2.1.7.1</t>
  </si>
  <si>
    <t>Смена сгонов у трубопроводов диаметром до 20 мм</t>
  </si>
  <si>
    <t>100 сгонов</t>
  </si>
  <si>
    <t>2.2.1.7.2</t>
  </si>
  <si>
    <t>Смена сгонов у трубопроводов диаметром до 32 мм</t>
  </si>
  <si>
    <t>2.2.1.7.3</t>
  </si>
  <si>
    <t>Смена сгонов у трубопроводов диаметром до 50 мм</t>
  </si>
  <si>
    <t>2.2.1.8</t>
  </si>
  <si>
    <t>Уплотнение сгонов</t>
  </si>
  <si>
    <t>2.2.1.8.1</t>
  </si>
  <si>
    <t>Уплотнение сгонов с применением льняной пряди или асбестового шнура (без разборки сгонов) диаметром до 20 мм</t>
  </si>
  <si>
    <t>1 сгон</t>
  </si>
  <si>
    <t>2.2.1.8.2</t>
  </si>
  <si>
    <t>Уплотнение сгонов с применением льняной пряди или асбестового шнура (без разборки сгонов) диаметром до 32 мм</t>
  </si>
  <si>
    <t>2.2.1.8.4</t>
  </si>
  <si>
    <t>Уплотнение сгонов с применением ленты ФУМ (без разборки сгонов) диаметром до 50 мм</t>
  </si>
  <si>
    <t>2.2.1.9</t>
  </si>
  <si>
    <t>Прокладка трубопроводов водоснабжения из напорных полиэтиленовых труб низкого давления среднего типа</t>
  </si>
  <si>
    <t>2.2.1.9.4</t>
  </si>
  <si>
    <t>Прокладка трубопроводов водоснабжения из напорных полиэтиленовых труб низкого давления среднего типа наружным диаметром 40 мм</t>
  </si>
  <si>
    <t>100 м трубопровода</t>
  </si>
  <si>
    <t>2.2.1.9.5</t>
  </si>
  <si>
    <t>Прокладка трубопроводов водоснабжения из напорных полиэтиленовых труб низкого давления среднего типа наружным диаметром 50 мм</t>
  </si>
  <si>
    <t>2.2.1.9.6</t>
  </si>
  <si>
    <t>Прокладка трубопроводов водоснабжения из напорных полиэтиленовых труб низкого давления среднего типа наружным диаметром 63 мм</t>
  </si>
  <si>
    <t>2.2.1.9.7</t>
  </si>
  <si>
    <t>Прокладка трубопроводов водоснабжения из напорных полиэтиленовых труб низкого давления среднего типа наружным диаметром 75 мм</t>
  </si>
  <si>
    <t>2.2.1.9.8</t>
  </si>
  <si>
    <t>Прокладка трубопроводов водоснабжения из напорных полиэтиленовых труб низкого давления среднего типа наружным диаметром 90 мм</t>
  </si>
  <si>
    <t>2.2.1.9.9</t>
  </si>
  <si>
    <t>Прокладка трубопроводов водоснабжения из напорных полиэтиленовых труб низкого давления среднего типа наружным диаметром 110 мм</t>
  </si>
  <si>
    <t>2.2.2</t>
  </si>
  <si>
    <t>Ремонт, замена, проверка приборов учета воды</t>
  </si>
  <si>
    <t>2.2.2.1</t>
  </si>
  <si>
    <t>Ремонт приборов учета воды</t>
  </si>
  <si>
    <t>2.2.2.1.9</t>
  </si>
  <si>
    <t>Обслуживание преобразователя расхода от 50 до  100 мм</t>
  </si>
  <si>
    <t>1 преобразователь расхода</t>
  </si>
  <si>
    <t>2.2.2.2</t>
  </si>
  <si>
    <t>Замена прибора учета воды</t>
  </si>
  <si>
    <t>2.2.2.2.1</t>
  </si>
  <si>
    <t>Замена прибора учета воды с фильтром</t>
  </si>
  <si>
    <t>Счетчик воды</t>
  </si>
  <si>
    <t>2.2.2.2.2</t>
  </si>
  <si>
    <t>Замена прибора учета воды без фильтра</t>
  </si>
  <si>
    <t>2.2.3</t>
  </si>
  <si>
    <t>Ремонт  бойлеров,  котлов  подготовки  горячей воды</t>
  </si>
  <si>
    <t>2.2.3.1</t>
  </si>
  <si>
    <t>Проверка и ремонт  водяных теплообменников и водонагревателей</t>
  </si>
  <si>
    <t>2.2.3.1.3</t>
  </si>
  <si>
    <t>Теплообменник (водонагреватель)  поверхностью нагрева  до 25 кв.м</t>
  </si>
  <si>
    <t>1  теплообменник (бойлер)</t>
  </si>
  <si>
    <t>2.2.3.2</t>
  </si>
  <si>
    <t>Специальные работы и изготовление деталей</t>
  </si>
  <si>
    <t>2.2.3.2.2</t>
  </si>
  <si>
    <t>Очистка труб от накипи с двух сторон или райберовка отверстий трубной доски</t>
  </si>
  <si>
    <t>труба (отверстие)</t>
  </si>
  <si>
    <t>2.2.3.4</t>
  </si>
  <si>
    <t>Снятие и установка корпуса теплообменника</t>
  </si>
  <si>
    <t>корпус</t>
  </si>
  <si>
    <t>2.2.3.6</t>
  </si>
  <si>
    <t>Замена дефектных трубок пучка</t>
  </si>
  <si>
    <t>2.2.3.6.2</t>
  </si>
  <si>
    <t>Замена дефектных трубок пучка теплообменника с поверхностью нагрева до 75 кв.м</t>
  </si>
  <si>
    <t>1 трубка</t>
  </si>
  <si>
    <t>2.2.3.8</t>
  </si>
  <si>
    <t>Гидравлическое испытание теплообменника</t>
  </si>
  <si>
    <t>2.2.3.8.2</t>
  </si>
  <si>
    <t>Гидравлическое испытание теплообменника (водонагревателя)  поверхностью нагрева  до 75 кв.м</t>
  </si>
  <si>
    <t>1 теплообменник (бойлер)</t>
  </si>
  <si>
    <t>2.2.3.9</t>
  </si>
  <si>
    <t>Замена трубчатого или змеевикового  теплообменного аппарата</t>
  </si>
  <si>
    <t>2.2.3.9.1</t>
  </si>
  <si>
    <t>Замена трубчатого или змеевикового  теплообменного аппарата при весе пучка до 100 кг</t>
  </si>
  <si>
    <t>2.2.4</t>
  </si>
  <si>
    <t>Теплоизоляция сетей  горячего  водоснабжения</t>
  </si>
  <si>
    <t>100 м2 утепленного участка</t>
  </si>
  <si>
    <t>2.2.5</t>
  </si>
  <si>
    <t>Окраска  сетей и  устройств  горячего  водоснабжения</t>
  </si>
  <si>
    <t>2.2.5.1</t>
  </si>
  <si>
    <t>Окраска масляными составами ранее окрашенных поверхностей стальных труб</t>
  </si>
  <si>
    <t>2.2.5.1.2</t>
  </si>
  <si>
    <t>Окраска масляными составами ранее окрашенных поверхностей  стальных труб горячего водоснабжения за 2 раза</t>
  </si>
  <si>
    <t>2.2.6</t>
  </si>
  <si>
    <t>Ремонт оборудования, приборов и арматуры водопроводной сети общего пользования</t>
  </si>
  <si>
    <t>2.2.6.1</t>
  </si>
  <si>
    <t>Смена вентилей и клапанов обратных муфтовых диаметром до 20 мм</t>
  </si>
  <si>
    <t>2.2.6.2</t>
  </si>
  <si>
    <t>Смена вентилей и клапанов обратных муфтовых диаметром до 32  мм</t>
  </si>
  <si>
    <t>2.2.6.3</t>
  </si>
  <si>
    <t>Смена вентилей и клапанов обратных муфтовых диаметром до 50  мм</t>
  </si>
  <si>
    <t>2.2.6.4</t>
  </si>
  <si>
    <t>Смена задвижек диаметром до 50 мм</t>
  </si>
  <si>
    <t>2.2.6.5</t>
  </si>
  <si>
    <t>Смена задвижек диаметром до 100 мм</t>
  </si>
  <si>
    <t>2.3</t>
  </si>
  <si>
    <t>Система водоотведения</t>
  </si>
  <si>
    <t>2.3.1</t>
  </si>
  <si>
    <t>Смена отдельных участков трубопроводов канализации из полиэтиленовых труб высокой плотности</t>
  </si>
  <si>
    <t>2.3.1.1</t>
  </si>
  <si>
    <t>Смена горизонтальных участков трубопроводов канализации из полиэтиленовых труб высокой плотности диаметром 50 мм</t>
  </si>
  <si>
    <t>2.3.1.2</t>
  </si>
  <si>
    <t>Смена горизонтальных участков трубопроводов канализации из полиэтиленовых труб высокой плотности диаметром 100 мм</t>
  </si>
  <si>
    <t>2.3.1.3</t>
  </si>
  <si>
    <t>Смена вертикальных участков трубопроводов канализации из полиэтиленовых труб высокой плотности диаметром 50 мм</t>
  </si>
  <si>
    <t>2.3.1.4</t>
  </si>
  <si>
    <t>Смена вертикальных участков трубопроводов канализации из полиэтиленовых труб высокой плотности диаметром 100 мм</t>
  </si>
  <si>
    <t>2.3.2</t>
  </si>
  <si>
    <t>Смена отдельных участков внутренних чугунных канализационных труб и выпусков</t>
  </si>
  <si>
    <t>2.3.2.1</t>
  </si>
  <si>
    <t>Смена отдельных участков  чугунных труб и внутренних чугунных канализационных выпусков при диаметре канализационного выпуска 50 мм</t>
  </si>
  <si>
    <t>2.3.2.2</t>
  </si>
  <si>
    <t>Смена отдельных участков чугунных труб и  внутренних чугунных канализационных выпусков при диаметре канализационного выпуска 100 мм</t>
  </si>
  <si>
    <t>2.3.3</t>
  </si>
  <si>
    <t>Подчеканка раструбов канализационных труб</t>
  </si>
  <si>
    <t>2.3.3.3</t>
  </si>
  <si>
    <t>Подчеканка раструбов чугунных канализационных труб</t>
  </si>
  <si>
    <t>2.3.3.3.1</t>
  </si>
  <si>
    <t>Подчеканка раструбов чугунных  канализационных труб диаметром до 50 мм</t>
  </si>
  <si>
    <t>100  раструбов</t>
  </si>
  <si>
    <t>2.3.4</t>
  </si>
  <si>
    <t>Устранение засоров внутренних канализационных трубопроводов</t>
  </si>
  <si>
    <t>100 м трубы</t>
  </si>
  <si>
    <t>2.3.5</t>
  </si>
  <si>
    <t>Заделка стыков соединений стояков внутренних водостоков</t>
  </si>
  <si>
    <t>100 соединений</t>
  </si>
  <si>
    <t>2.3.7</t>
  </si>
  <si>
    <t>Набивка сальников компенсационных патрубков на стояках внутренних водостоков</t>
  </si>
  <si>
    <t>100 патрубков</t>
  </si>
  <si>
    <t>2.3.8</t>
  </si>
  <si>
    <t>Очистка стальной щеткой старых чугунных труб и фасонных частей от нароста и грязи</t>
  </si>
  <si>
    <t>2.3.8.1</t>
  </si>
  <si>
    <t>Очистка стальной щеткой старых чугунных труб и фасонных частей от нароста и грязи при диаметре трубопровода до 50 мм</t>
  </si>
  <si>
    <t>1 м трубопровода</t>
  </si>
  <si>
    <t>2.3.8.3</t>
  </si>
  <si>
    <t>Очистка стальной щеткой старых чугунных труб и фасонных частей от нароста и грязи при диаметре трубопровода до 100 мм</t>
  </si>
  <si>
    <t>2.3.9</t>
  </si>
  <si>
    <t>Окраска масляными составами ранее окрашенных поверхностей стальных и чугунных труб</t>
  </si>
  <si>
    <t>2.3.9.2</t>
  </si>
  <si>
    <t>Окраска масляными составами ранее окрашенных поверхностей  чугунных труб за 2 раза</t>
  </si>
  <si>
    <t>2.3.11</t>
  </si>
  <si>
    <t>Разборка трубопроводов из чугунных канализационных труб</t>
  </si>
  <si>
    <t>2.3.11.1</t>
  </si>
  <si>
    <t>Разборка трубопроводов из чугунных канализационных труб диаметром 50 мм</t>
  </si>
  <si>
    <t>100 м трубопровода с фасонными частями</t>
  </si>
  <si>
    <t>2.3.11.2</t>
  </si>
  <si>
    <t>Разборка трубопроводов из чугунных канализационных труб диаметром 100 мм</t>
  </si>
  <si>
    <t>2.6.11</t>
  </si>
  <si>
    <t>Проведение технических осмотров и устранение незначительных неисправностей в  системах водоснабжения и  водоотведения</t>
  </si>
  <si>
    <t>2.6.11.1</t>
  </si>
  <si>
    <t>Осмотр водопровода, канализации и горячего водоснабжения</t>
  </si>
  <si>
    <t>100 квартир</t>
  </si>
  <si>
    <t>2.6.11.2</t>
  </si>
  <si>
    <t>Промывка участка водопровода</t>
  </si>
  <si>
    <t>100 куб.м. здания</t>
  </si>
  <si>
    <t>2.6.11.3</t>
  </si>
  <si>
    <t>Прочистка канализационного лежака</t>
  </si>
  <si>
    <t>100 м канализационного лежака</t>
  </si>
  <si>
    <t>2.6.11.4</t>
  </si>
  <si>
    <t>Проверка исправности  канализационных  вытяжек</t>
  </si>
  <si>
    <t>2.6.15</t>
  </si>
  <si>
    <t>Проверка и ремонт коллективных приборов  учета</t>
  </si>
  <si>
    <t>2.6.15.1</t>
  </si>
  <si>
    <t>Проверка и обслуживание приборов учета воды диаметром 25-40 мм</t>
  </si>
  <si>
    <t>2.6.15.1.1</t>
  </si>
  <si>
    <t>Визуальный осмотр узла учета и проверка наличия и нарушения пломб (прибор учета воды диаметром 25-40 мм)</t>
  </si>
  <si>
    <t>1 прибор учета</t>
  </si>
  <si>
    <t>2.6.15.1.2</t>
  </si>
  <si>
    <t>Снятие и запись показаний с вычислителя в журнал (прибор учета воды диаметром 25-40 мм)</t>
  </si>
  <si>
    <t>2.6.15.1.3</t>
  </si>
  <si>
    <t>Составление акта (при нарушении правил эксплуатации прибора учета воды диаметром 25-40 мм) с представителями абонента и поставщиком</t>
  </si>
  <si>
    <t>2.6.15.1.4</t>
  </si>
  <si>
    <t>Проверка работоспособности запорной арматуры и очистка фильтров (приборов учета воды диаметром 25-40 мм)</t>
  </si>
  <si>
    <t>1 фильтр</t>
  </si>
  <si>
    <t>2.6.15.1.5</t>
  </si>
  <si>
    <t>Установка фильтра для очистки воды (приборов учета воды диаметром 25-40 мм)</t>
  </si>
  <si>
    <t>2.6.15.1.6</t>
  </si>
  <si>
    <t>Запуск воды с общего вентиля к счетчику (приборов учета воды диаметром 25-40 мм)</t>
  </si>
  <si>
    <t>2.6.15.1.7</t>
  </si>
  <si>
    <t>При отказе или неисправной работе прибора учета воды диаметром 25-40 мм - поиск неисправностей</t>
  </si>
  <si>
    <t>2.6.15.1.8</t>
  </si>
  <si>
    <t>Проверка работоспособности водозапорной арматуры приборов учета воды диаметром 25-40 мм</t>
  </si>
  <si>
    <t>2.6.15.2</t>
  </si>
  <si>
    <t>Проверка и обслуживание коллективных приборов учета воды диаметром 50-250 мм</t>
  </si>
  <si>
    <t>2.6.15.2.1</t>
  </si>
  <si>
    <t>Визуальный осмотр прибора учета воды диаметром 50-250 мм и проверка наличия и нарушения пломб</t>
  </si>
  <si>
    <t>2.6.15.2.2</t>
  </si>
  <si>
    <t>Снятие и запись показаний с вычислителя в журнал (приборов учета воды диаметром 50-250 мм)</t>
  </si>
  <si>
    <t>2.6.15.2.3</t>
  </si>
  <si>
    <t>Составление акта (при нарушении правил эксплуатации прибора учета воды диаметром 50-250 мм)</t>
  </si>
  <si>
    <t>2.6.15.2.4</t>
  </si>
  <si>
    <t>Проверка работоспособности запорной арматуры и очистка фильтров приборов учета воды диаметром 50-250 мм</t>
  </si>
  <si>
    <t>2.6.15.2.5</t>
  </si>
  <si>
    <t>Установка фильтра для очистки воды (приборов учета воды диаметром 50-250 мм)</t>
  </si>
  <si>
    <t>2.6.15.2.6</t>
  </si>
  <si>
    <t>Запуск воды с общего вентиля к счетчику (прибор учета воды диаметром 50-250 мм)</t>
  </si>
  <si>
    <t>2.6.15.2.7</t>
  </si>
  <si>
    <t>При отказе или неисправной работе прибора учета воды диаметром 50-250 мм - поиск неисправностей</t>
  </si>
  <si>
    <t>2.6.15.2.8</t>
  </si>
  <si>
    <t>Проверка работоспособности водозапорной арматуры приборов учета воды диаметром 50-250 мм</t>
  </si>
  <si>
    <t>2.7</t>
  </si>
  <si>
    <t>Устранение аварии и выполнение заявок населения</t>
  </si>
  <si>
    <t>2.7.1</t>
  </si>
  <si>
    <t>Устранение аварии на внутридомовых инженерных сетях и выполнение заявок населения (в домах, оборудованных газовыми плитами)</t>
  </si>
  <si>
    <t>2.7.1.2</t>
  </si>
  <si>
    <t>Устранение аварии на внутридомовых инженерных сетях при сроке эксплуатации многоквартирного дома от 11 до 30  лет</t>
  </si>
  <si>
    <t>1000 м2  общей площади жилых помещений, оборудованных газовыми плитами (в год для одной смены)</t>
  </si>
  <si>
    <t>2.7.1.3</t>
  </si>
  <si>
    <t>Устранение аварии на внутридомовых инженерных сетях при сроке эксплуатации многоквартирного дома от 31 до 50 лет</t>
  </si>
  <si>
    <t>Техническое обслуживание и ремонт внутридомовых систем центрального отопления</t>
  </si>
  <si>
    <t>2.1</t>
  </si>
  <si>
    <t>Система теплоснабжения</t>
  </si>
  <si>
    <t>2.1.2</t>
  </si>
  <si>
    <t>Ремонт,  модернизация внутридомовых отопительных сетей</t>
  </si>
  <si>
    <t>2.1.2.2</t>
  </si>
  <si>
    <t>Смена отдельных участков трубопроводов из стальных электросварных труб</t>
  </si>
  <si>
    <t>2.1.2.2.1</t>
  </si>
  <si>
    <t>Смена отдельных участков трубопроводов из стальных электросварных труб  диаметром 40 мм</t>
  </si>
  <si>
    <t>2.1.2.2.2</t>
  </si>
  <si>
    <t>Смена отдельных участков трубопроводов из стальных электросварных труб   диаметром 50 мм</t>
  </si>
  <si>
    <t>2.1.2.2.3</t>
  </si>
  <si>
    <t>Смена отдельных участков трубопроводов из стальных электросварных труб   диаметром 65 мм</t>
  </si>
  <si>
    <t>2.1.2.2.4</t>
  </si>
  <si>
    <t>Смена отдельных участков трубопроводов из стальных электросварных труб   диаметром  80 мм</t>
  </si>
  <si>
    <t>2.1.2.2.5</t>
  </si>
  <si>
    <t>Смена отдельных участков трубопроводов из стальных электросварных труб диаметром 100 мм</t>
  </si>
  <si>
    <t>2.1.2.3</t>
  </si>
  <si>
    <t xml:space="preserve">Модернизация внутридомовых тепловых сетей путем замены на трубопроводы из многослойных металл-полимерных труб при стояковой системе отопления </t>
  </si>
  <si>
    <t>2.1.2.3.1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</si>
  <si>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20 мм</t>
  </si>
  <si>
    <t>пог.м.</t>
  </si>
  <si>
    <t>2.1.2.3.2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</si>
  <si>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25 мм</t>
  </si>
  <si>
    <t>2.1.2.3.3</t>
  </si>
  <si>
    <t>Модернизация внутридомовых тепловых сетей путем замены на трубопроводы из многослойных металл-полимерных труб при стояковой системе отопления диаметром до 32 мм</t>
  </si>
  <si>
    <t>2.1.3</t>
  </si>
  <si>
    <t>Ремонт,  промывка  отопительных  элементов</t>
  </si>
  <si>
    <t>2.1.3.1</t>
  </si>
  <si>
    <t>Смена радиаторных блоков</t>
  </si>
  <si>
    <t>2.1.3.1.2</t>
  </si>
  <si>
    <t>Смена радиаторных блоков, вес радиаторного блока до 80 кг</t>
  </si>
  <si>
    <t>100 радиаторных блоков</t>
  </si>
  <si>
    <t>2.1.3.2</t>
  </si>
  <si>
    <t>Переборка секций радиаторного блока из чугуна</t>
  </si>
  <si>
    <t>100 секций</t>
  </si>
  <si>
    <t>2.1.3.3</t>
  </si>
  <si>
    <t>Переборка секций радиаторного блока из алюминия</t>
  </si>
  <si>
    <t>2.1.3.4</t>
  </si>
  <si>
    <t>Добавление секций к радиаторному блоку</t>
  </si>
  <si>
    <t>2.1.3.4.1</t>
  </si>
  <si>
    <t>Добавление секций к алюминиевому радиаторному блоку</t>
  </si>
  <si>
    <t>2.1.3.4.2</t>
  </si>
  <si>
    <t>Добавление секций к чугунному радиаторному блоку</t>
  </si>
  <si>
    <t>2.1.3.5</t>
  </si>
  <si>
    <t>Прочистка и промывка отопительных приборов</t>
  </si>
  <si>
    <t>2.1.3.5.1</t>
  </si>
  <si>
    <t>Прочистка и промывка отопительных приборов радиаторов весом до 80 кг внутри здания</t>
  </si>
  <si>
    <t>100 приборов</t>
  </si>
  <si>
    <t>2.1.3.5.2</t>
  </si>
  <si>
    <t>Прочистка и промывка отопительных приборов радиаторов весом до 160 кг внутри здания</t>
  </si>
  <si>
    <t>2.1.5</t>
  </si>
  <si>
    <t>Восстановление теплоизоляции  систем  теплоснабжения</t>
  </si>
  <si>
    <t>2.1.5.3</t>
  </si>
  <si>
    <t>Восстановление разрушенной тепловой изоляции</t>
  </si>
  <si>
    <t>2.1.5.3.3</t>
  </si>
  <si>
    <t>Восстановление разрушенной тепловой изоляции минераловатными матами</t>
  </si>
  <si>
    <t>100 м2 восстановленного участка</t>
  </si>
  <si>
    <t>2.1.6</t>
  </si>
  <si>
    <t>Ремонт или  замена  неисправных  приборов  учета и  регулирования</t>
  </si>
  <si>
    <t>2.1.6.2</t>
  </si>
  <si>
    <t>Замена прибора учета</t>
  </si>
  <si>
    <t>прибор</t>
  </si>
  <si>
    <t>2.1.7</t>
  </si>
  <si>
    <t>Ремонт  элеваторного  узла</t>
  </si>
  <si>
    <t>2.1.7.1</t>
  </si>
  <si>
    <t>Ремонт элеваторного узла с выходным проходом 50 мм</t>
  </si>
  <si>
    <t>1 узел</t>
  </si>
  <si>
    <t>2.1.7.2</t>
  </si>
  <si>
    <t>Ремонт элеваторного узла с выходным проходом 80 мм</t>
  </si>
  <si>
    <t>узел</t>
  </si>
  <si>
    <t>2.1.8</t>
  </si>
  <si>
    <t>Ремонт  насосов,  магистральной запорной арматуры,  автоматических устройств</t>
  </si>
  <si>
    <t>2.1.8.1</t>
  </si>
  <si>
    <t>Ремонт центробежных насосов</t>
  </si>
  <si>
    <t>насос</t>
  </si>
  <si>
    <t>2.1.8.4</t>
  </si>
  <si>
    <t>Смена параллельной задвижки</t>
  </si>
  <si>
    <t>2.1.8.4.1</t>
  </si>
  <si>
    <t>Смена параллельной задвижки,  диаметром до 100 мм</t>
  </si>
  <si>
    <t>2.1.8.4.2</t>
  </si>
  <si>
    <t>Смена параллельной задвижки,  диаметром до 150 мм</t>
  </si>
  <si>
    <t>2.1.8.4.3</t>
  </si>
  <si>
    <t>Смена параллельной задвижки,  диаметром до 200 мм</t>
  </si>
  <si>
    <t>2.1.8.5</t>
  </si>
  <si>
    <t>Снятие, прочистка и установка параллельной задвижки</t>
  </si>
  <si>
    <t>2.1.8.5.1</t>
  </si>
  <si>
    <t>Снятие, прочистка и установка параллельной задвижки диаметром  100 мм</t>
  </si>
  <si>
    <t>2.1.8.5.2</t>
  </si>
  <si>
    <t>Снятие, прочистка и установка параллельной задвижки диаметром  150 мм</t>
  </si>
  <si>
    <t>2.1.8.5.3</t>
  </si>
  <si>
    <t>Снятие, прочистка и установка параллельной задвижки диаметром  200 мм</t>
  </si>
  <si>
    <t>2.1.8.6</t>
  </si>
  <si>
    <t>Смена кранов двойной регулировки</t>
  </si>
  <si>
    <t>2.1.8.6.3</t>
  </si>
  <si>
    <t>Смена кранов двойной регулировки диаметром прохода 32 мм</t>
  </si>
  <si>
    <t>100 кранов</t>
  </si>
  <si>
    <t>2.1.8.7</t>
  </si>
  <si>
    <t>Смена пробковых кранов</t>
  </si>
  <si>
    <t>2.1.8.7.3</t>
  </si>
  <si>
    <t>Смена пробковых кранов диаметром свыше 26-50 мм</t>
  </si>
  <si>
    <t>2.1.8.8</t>
  </si>
  <si>
    <t>Смена вентиля</t>
  </si>
  <si>
    <t>2.1.8.8.3</t>
  </si>
  <si>
    <t>Смена вентиля диаметром свыше 26 до 50  мм</t>
  </si>
  <si>
    <t>100 вентилей</t>
  </si>
  <si>
    <t>2.1.9</t>
  </si>
  <si>
    <t>Модернизация системы отопления и горячего водоснабжения</t>
  </si>
  <si>
    <t>2.1.9.3</t>
  </si>
  <si>
    <t>Установка термостатических вентилей на радиаторах</t>
  </si>
  <si>
    <t>2.1.9.3.1</t>
  </si>
  <si>
    <t>Установка термостатических вентилей на радиаторах, диаметром 10-15 мм</t>
  </si>
  <si>
    <t>1 прибор</t>
  </si>
  <si>
    <t>2.1.9.3.2</t>
  </si>
  <si>
    <t>Установка термостатических вентилей на радиаторах, диаметром 20 мм</t>
  </si>
  <si>
    <t>2.1.9.4</t>
  </si>
  <si>
    <t>Установка запорных вентилей на радиаторах</t>
  </si>
  <si>
    <t>2.1.9.4.1</t>
  </si>
  <si>
    <t>Установка запорных вентилей на радиаторах, диаметром 10-15 мм</t>
  </si>
  <si>
    <t>2.1.9.4.2</t>
  </si>
  <si>
    <t>Установка запорных вентилей на радиаторах, диаметром 20 мм</t>
  </si>
  <si>
    <t>2.1.10</t>
  </si>
  <si>
    <t>Обслуживание систем диспетчеризации и автоматизированной системы коммерческого учета энергии (АСКУЭ) без учета обслуживания серверов</t>
  </si>
  <si>
    <t>1 АРМ</t>
  </si>
  <si>
    <t>2.6.14</t>
  </si>
  <si>
    <t>Проведение технических осмотров и устранение незначительных неисправностей в  системе   теплоснабжения</t>
  </si>
  <si>
    <t>2.6.14.1</t>
  </si>
  <si>
    <t>Осмотр системы центрального отопления</t>
  </si>
  <si>
    <t>2.6.14.1.2</t>
  </si>
  <si>
    <t>Осмотр устройства системы центрального отопления в чердачных и подвальных помещениях</t>
  </si>
  <si>
    <t>1000 м2 осматриваемых помещений</t>
  </si>
  <si>
    <t>2.6.14.3</t>
  </si>
  <si>
    <t>Гидравлическое испытание трубопроводов систем центрального отопления (расконсервация)</t>
  </si>
  <si>
    <t>2.6.14.3.1</t>
  </si>
  <si>
    <t>Первое рабочее испытание отдельных частей системы при диаметре трубопровода до 50 мм</t>
  </si>
  <si>
    <t>2.6.14.3.2</t>
  </si>
  <si>
    <t>Рабочая проверка системы в целом при диаметре трубопровода до 50 мм</t>
  </si>
  <si>
    <t>2.6.14.3.3</t>
  </si>
  <si>
    <t>Окончательная проверка при сдаче системы при диаметре трубопровода до 50 мм</t>
  </si>
  <si>
    <t>2.6.14.3.4</t>
  </si>
  <si>
    <t>Первое рабочее испытание отдельных частей системы при диаметре трубопровода до 100 мм</t>
  </si>
  <si>
    <t>2.6.14.3.5</t>
  </si>
  <si>
    <t>Рабочая проверка системы в целом при диаметре трубопровода до 100 мм</t>
  </si>
  <si>
    <t>2.6.14.3.6</t>
  </si>
  <si>
    <t>Окончательная проверка при сдаче системы при диаметре трубопровода до 100 мм</t>
  </si>
  <si>
    <t>2.6.14.3.10</t>
  </si>
  <si>
    <t>Проверка на прогрев отопительных приборов с регулировкой</t>
  </si>
  <si>
    <t>2.6.14.4</t>
  </si>
  <si>
    <t>Промывка трубопроводов системы центрального отопления</t>
  </si>
  <si>
    <t>2.6.14.4.1</t>
  </si>
  <si>
    <t>Промывка трубопроводов системы центрального отопления до 50 мм</t>
  </si>
  <si>
    <t>10 м трубопровода (100 м3 здания)</t>
  </si>
  <si>
    <t>2.6.14.4.2</t>
  </si>
  <si>
    <t>Промывка трубопроводов системы центрального отопления до 100 мм</t>
  </si>
  <si>
    <t>2.6.15.3</t>
  </si>
  <si>
    <t>Проверка и обслуживание коллективных узлов учета тепловой энергии диаметром 25-40 мм</t>
  </si>
  <si>
    <t>2.6.15.3.1</t>
  </si>
  <si>
    <t>Визуальный осмотр и проверка наличия и нарушения пломб (узел учета тепловой энергии диаметром 25-40 мм)</t>
  </si>
  <si>
    <t>1 узел учета</t>
  </si>
  <si>
    <t>2.6.15.3.2</t>
  </si>
  <si>
    <t>Снятие и запись показаний с вычислителя в журнал (узел учета тепловой энергии диаметром 25-40 мм)</t>
  </si>
  <si>
    <t>2.6.15.3.3</t>
  </si>
  <si>
    <t>Составление акта (при нарушении правил эксплуатации прибора) (узел учета тепловой энергии диаметром 25-40 мм)</t>
  </si>
  <si>
    <t>2.6.15.4</t>
  </si>
  <si>
    <t>Проверка и обслуживание коллективных узлов учета тепловой энергии диаметром 50-250 мм</t>
  </si>
  <si>
    <t>2.6.15.4.1</t>
  </si>
  <si>
    <t>Визуальный осмотр и проверка наличия и нарушения пломб (узел учета тепловой энергии диаметром 50-250 мм)</t>
  </si>
  <si>
    <t>2.6.15.4.2</t>
  </si>
  <si>
    <t>Снятие и запись показаний с вычислителя в журнал (узел учета тепловой энергии диаметром 50-250 мм)</t>
  </si>
  <si>
    <t>2.6.15.4.3</t>
  </si>
  <si>
    <t>Составление акта (при нарушении правил эксплуатации прибора) (узел учета тепловой энергии диаметром 50-250 мм)</t>
  </si>
  <si>
    <t>2.6.15.4.4</t>
  </si>
  <si>
    <t>Проверка работоспособности запорной арматуры и очистка фильтра (узел учета тепловой энергии диаметром 50-250 мм)</t>
  </si>
  <si>
    <t> Техническое обслуживание и ремонт внутридомовых систем газового оборудования</t>
  </si>
  <si>
    <t>2.4</t>
  </si>
  <si>
    <t>Система газоснабжения</t>
  </si>
  <si>
    <t>2.4.1</t>
  </si>
  <si>
    <t>Ремонт внутридомовых сетей  газоснабжения</t>
  </si>
  <si>
    <t>2.4.1.1</t>
  </si>
  <si>
    <t>Техническое обслуживание внутридомовых газопроводов</t>
  </si>
  <si>
    <t>2.4.1.1.2</t>
  </si>
  <si>
    <t>Техническое обслуживание внутридомовых газопроводов диаметром 25-50 мм</t>
  </si>
  <si>
    <t>100 пог. м.</t>
  </si>
  <si>
    <t>2.4.1.1.3</t>
  </si>
  <si>
    <t>Техническое обслуживание внутридомовых газопроводов диаметром 50-75 мм</t>
  </si>
  <si>
    <t>2.4.1.2</t>
  </si>
  <si>
    <t>Устранение неплотности соединений газопровода</t>
  </si>
  <si>
    <t>2.4.1.2.2</t>
  </si>
  <si>
    <t>Устранение неплотности соединений газопровода диаметром 25 мм</t>
  </si>
  <si>
    <t>1 соединение</t>
  </si>
  <si>
    <t>2.4.1.2.3</t>
  </si>
  <si>
    <t>Устранение неплотности соединений газопровода диаметром 32 мм</t>
  </si>
  <si>
    <t>2.4.1.2.4</t>
  </si>
  <si>
    <t>Устранение неплотности соединений газопровода диаметром 40 мм</t>
  </si>
  <si>
    <t>2.4.1.2.5</t>
  </si>
  <si>
    <t>Устранение неплотности соединений газопровода диаметром 50 мм</t>
  </si>
  <si>
    <t>2.4.1.3</t>
  </si>
  <si>
    <t>Замена газового крана</t>
  </si>
  <si>
    <t>2.4.1.3.2</t>
  </si>
  <si>
    <t>Замена газового крана диаметром 25 и 32 мм</t>
  </si>
  <si>
    <t>1 кран</t>
  </si>
  <si>
    <t>2.4.1.4</t>
  </si>
  <si>
    <t>Ремонт неисправного участка газопровода</t>
  </si>
  <si>
    <t>2.4.1.4.1</t>
  </si>
  <si>
    <t>Ремонт неисправного участка газопровода диаметром 15 мм</t>
  </si>
  <si>
    <t>1 участок</t>
  </si>
  <si>
    <t>2.4.1.4.2</t>
  </si>
  <si>
    <t>Ремонт неисправного участка газопровода диаметром 25 и 32 мм</t>
  </si>
  <si>
    <t>2.4.1.4.3</t>
  </si>
  <si>
    <t>Ремонт неисправного участка газопровода диаметром 40 мм</t>
  </si>
  <si>
    <t>2.4.1.4.4</t>
  </si>
  <si>
    <t>Ремонт неисправного участка газопровода диаметром 50 мм</t>
  </si>
  <si>
    <t>2.4.1.5</t>
  </si>
  <si>
    <t>Проверка работоспособности и смазка отключающих устройств</t>
  </si>
  <si>
    <t>2.4.2</t>
  </si>
  <si>
    <t>Внутридомовое и (или) внутриквартирное газовое оборудование</t>
  </si>
  <si>
    <t>2.4.2.1</t>
  </si>
  <si>
    <t>Ремонт,  замена  неисправных  приборов  учета и  регулирования</t>
  </si>
  <si>
    <t>2.4.2.1.2</t>
  </si>
  <si>
    <t>2.4.2.3</t>
  </si>
  <si>
    <t>Визуальная проверка (осмотр) газового оборудования</t>
  </si>
  <si>
    <t>1 оборудование</t>
  </si>
  <si>
    <t>2.4.2.4</t>
  </si>
  <si>
    <t>Проверка герметичности соединений и отключающих устройств</t>
  </si>
  <si>
    <t>2.4.2.5</t>
  </si>
  <si>
    <t>Разборка и смазка кранов</t>
  </si>
  <si>
    <t>2.4.2.8</t>
  </si>
  <si>
    <t>Инструктаж потребителей газа по безопасному использованию газа при удовлетворении коммунально-бытовых нужд</t>
  </si>
  <si>
    <t>1 квартира</t>
  </si>
  <si>
    <t>2.4.2.9</t>
  </si>
  <si>
    <t>Техническое обслуживание внутридомового газового оборудования домовладений и многоквартирных домов</t>
  </si>
  <si>
    <t>2.4.2.9.3</t>
  </si>
  <si>
    <t>Проверка герметичности внутридомового газопровода и технологических устройств на нем при количестве приборов на одном стояке 11-15 шт.</t>
  </si>
  <si>
    <t>стояк</t>
  </si>
  <si>
    <t>2.4.2.9.5</t>
  </si>
  <si>
    <t>Проверка на герметичность фланцевых, резьбовых соединений и сварных стыков на газопроводе в подъезде здания при диаметре до 32 мм</t>
  </si>
  <si>
    <t>10 шт.</t>
  </si>
  <si>
    <t>2.4.2.9.6</t>
  </si>
  <si>
    <t>Проверка на герметичность фланцевых, резьбовых соединений и сварных стыков на газопроводе в подъезде здания при диаметре 33 - 40 мм</t>
  </si>
  <si>
    <t>2.4.2.9.7</t>
  </si>
  <si>
    <t>Проверка на герметичность фланцевых, резьбовых соединений и сварных стыков на газопроводе в подъезде здания при диаметре 41 - 50 мм</t>
  </si>
  <si>
    <t>2.4.2.9.8</t>
  </si>
  <si>
    <t>Проверка герметичности фасадного газопровода</t>
  </si>
  <si>
    <t>м</t>
  </si>
  <si>
    <t>2.4.2.9.9</t>
  </si>
  <si>
    <t>Техническое обслуживание внутриквартирной газовой разводки</t>
  </si>
  <si>
    <t>шт.</t>
  </si>
  <si>
    <t>2.4.2.9.10</t>
  </si>
  <si>
    <t>Техническое обслуживание внутридомового газопровода в домовладении</t>
  </si>
  <si>
    <t>2.4.2.9.11</t>
  </si>
  <si>
    <t>Обход и осмотр трассы наружного (подземного, надземного) газопровода</t>
  </si>
  <si>
    <t>км</t>
  </si>
  <si>
    <t>2.4.2.9.15</t>
  </si>
  <si>
    <t>Техническое обслуживание внутридомового газопровода</t>
  </si>
  <si>
    <t>1 погонный метр</t>
  </si>
  <si>
    <t>2.4.2.10</t>
  </si>
  <si>
    <t>Проверка подвального помещения на загазованность</t>
  </si>
  <si>
    <t>1 помещение</t>
  </si>
  <si>
    <t>Техническое обслуживание и ремонт вентиляционных каналов</t>
  </si>
  <si>
    <t>2.6.5</t>
  </si>
  <si>
    <t>Утепление и прочистка дымовентиляционных каналов</t>
  </si>
  <si>
    <t>2.6.12</t>
  </si>
  <si>
    <t>Проведение технических осмотров и устранение незначительных неисправностей в  системах вентиляции</t>
  </si>
  <si>
    <t>2.6.12.1</t>
  </si>
  <si>
    <t>Проверка наличия тяги в  дымовентиляционных каналах</t>
  </si>
  <si>
    <t>2.6.12.2</t>
  </si>
  <si>
    <t>Проведение технических осмотров и устранение незначительных неисправностей в системе вентиляции</t>
  </si>
  <si>
    <t>Техническое обслуживание и ремонт дымоходов</t>
  </si>
  <si>
    <t>1.11</t>
  </si>
  <si>
    <t>Печи</t>
  </si>
  <si>
    <t>1.11.1</t>
  </si>
  <si>
    <t>Ликвидация  неравномерного нагрева  поверхностей</t>
  </si>
  <si>
    <t>1.11.1.1</t>
  </si>
  <si>
    <t>Прочистка дымохода</t>
  </si>
  <si>
    <t>1.11.1.1.1</t>
  </si>
  <si>
    <t>Прочистка дымохода из кирпича горизонтального</t>
  </si>
  <si>
    <t>1.11.4</t>
  </si>
  <si>
    <t>Перекладка  печей</t>
  </si>
  <si>
    <t>1.11.4.1</t>
  </si>
  <si>
    <t>Перекладка дымовых труб</t>
  </si>
  <si>
    <t>1.11.4.1.3</t>
  </si>
  <si>
    <t>Перекладка дымовых труб под крышей с добавлением нового кирпича до 50 % в один канал</t>
  </si>
  <si>
    <t xml:space="preserve">100 м трубы </t>
  </si>
  <si>
    <t>Техническое обслуживание и ремонт систем коллективного приема телевидения</t>
  </si>
  <si>
    <t>2.8</t>
  </si>
  <si>
    <t>Антенное оборудование, сети радио-, телефонные, иные  коммуникационные сети</t>
  </si>
  <si>
    <t>2.8.1</t>
  </si>
  <si>
    <t>Ремонт, установка радио- и телевизионных антенн</t>
  </si>
  <si>
    <t>2.8.1.2</t>
  </si>
  <si>
    <t>Ремонт антенны</t>
  </si>
  <si>
    <t>2.8.1.2.3</t>
  </si>
  <si>
    <t>Ремонт приемной телевизионной антенны метрового диапазона волн, многоканальной, одно-двухэлементной</t>
  </si>
  <si>
    <t>1 антенна</t>
  </si>
  <si>
    <t>2.8.2</t>
  </si>
  <si>
    <t>Обслуживание  антенного  оборудования</t>
  </si>
  <si>
    <t>1000 кв.м.</t>
  </si>
  <si>
    <t>2.8.3</t>
  </si>
  <si>
    <t>Ремонт,  замена  антенного  оборудования</t>
  </si>
  <si>
    <t>2.8.3.1</t>
  </si>
  <si>
    <t>Ремонт (замена) кабеля снижения приемной антенны</t>
  </si>
  <si>
    <t>Уборка мест общего пользования</t>
  </si>
  <si>
    <t>3.1</t>
  </si>
  <si>
    <t>Работы по санитарному содержанию помещений общего пользования, системы мусороудаления и фасадов</t>
  </si>
  <si>
    <t>3.1.1</t>
  </si>
  <si>
    <t>Подметание и мытье полов во всех помещениях  общего пользования, кабинах лифта и их влажная уборка</t>
  </si>
  <si>
    <t>3.1.1.3</t>
  </si>
  <si>
    <t>Подметание и влажная уборка полов во всех помещениях  общего пользования в многоквартирном доме с лифтами без  мусоропроводов</t>
  </si>
  <si>
    <t>3.1.1.3.1</t>
  </si>
  <si>
    <t>Подметание лестничных площадок и маршей</t>
  </si>
  <si>
    <t>3.1.1.3.1.1</t>
  </si>
  <si>
    <t>Подметание лестничных площадок и маршей нижних трех этажей с предварительным их увлажнением (в доме с лифтами без мусоропроводов)</t>
  </si>
  <si>
    <t>100 м2  убираемой  площади</t>
  </si>
  <si>
    <t>3.1.1.3.1.2</t>
  </si>
  <si>
    <t>Подметание лестничных площадок и маршей выше третьего этажа с предварительным их увлажнением  (в доме с лифтами без мусоропроводов)</t>
  </si>
  <si>
    <t>100 м2 убираемой  площади</t>
  </si>
  <si>
    <t>3.1.1.3.2</t>
  </si>
  <si>
    <t>Мытье лестничных площадок и маршей</t>
  </si>
  <si>
    <t>3.1.1.3.2.1</t>
  </si>
  <si>
    <t>Мытье  лестничных площадок и маршей нижних трех этажей  (в доме с лифтами без мусоропроводов)</t>
  </si>
  <si>
    <t>3.1.1.3.2.2</t>
  </si>
  <si>
    <t>Мытье  лестничных площадок и маршей  выше третьего этажа  (в доме с лифтами без мусоропроводов)</t>
  </si>
  <si>
    <t>3.1.3</t>
  </si>
  <si>
    <t>Протирка пыли  с колпаков  светильников, подоконников в помещениях общего  пользования</t>
  </si>
  <si>
    <t>3.1.3.1</t>
  </si>
  <si>
    <t>Протирка пыли  с колпаков  светильников (в подвалах, на чердаках и лестничных клетках)</t>
  </si>
  <si>
    <t>3.1.3.2</t>
  </si>
  <si>
    <t>Протирка пыли  с подоконников в помещениях общего  пользования</t>
  </si>
  <si>
    <t xml:space="preserve">100 м2 подоконников </t>
  </si>
  <si>
    <t>3.1.4</t>
  </si>
  <si>
    <t>Мытье и протирка дверей и окон в помещениях общего пользования, включая двери  мусорных камер</t>
  </si>
  <si>
    <t>3.1.4.1</t>
  </si>
  <si>
    <t>Мытье и протирка дверей  в помещениях общего пользования</t>
  </si>
  <si>
    <t>100 м2 дверей</t>
  </si>
  <si>
    <t>3.1.4.3</t>
  </si>
  <si>
    <t>Мытье и протирка легкодоступных стекол в окнах  в помещениях общего пользования</t>
  </si>
  <si>
    <t>100 м2 окон</t>
  </si>
  <si>
    <t>3.1.9</t>
  </si>
  <si>
    <t>Влажная протирка элементов лестничных клеток</t>
  </si>
  <si>
    <t>3.1.9.1</t>
  </si>
  <si>
    <t>Влажная протирка почтовых ящиков (с моющим средством)</t>
  </si>
  <si>
    <t>100 кв.м почтовых ящиков</t>
  </si>
  <si>
    <t>3.1.11</t>
  </si>
  <si>
    <t>Обметание пыли с потолков</t>
  </si>
  <si>
    <t>100 кв. м. потолков</t>
  </si>
  <si>
    <t>Уборка мест придомовой территории</t>
  </si>
  <si>
    <t>3.2.1</t>
  </si>
  <si>
    <t>Подметание  земельного  участка в летний период</t>
  </si>
  <si>
    <t>3.2.1.1</t>
  </si>
  <si>
    <t>Подметание в летний период  земельного участка с усовершенствованным покрытием 1 класса</t>
  </si>
  <si>
    <t>1 000 кв.м. территории</t>
  </si>
  <si>
    <t>3.2.3</t>
  </si>
  <si>
    <t>Уборка и уход за газонами, очистка  урн</t>
  </si>
  <si>
    <t>3.2.3.1</t>
  </si>
  <si>
    <t>Уборка и уход за газонами</t>
  </si>
  <si>
    <t>3.2.3.1.1</t>
  </si>
  <si>
    <t>Уборка газонов средней засоренности от листьев, сучьев, мусора</t>
  </si>
  <si>
    <t>100 000 кв.м. территории</t>
  </si>
  <si>
    <t>3.2.3.1.4</t>
  </si>
  <si>
    <t>Полив газонов</t>
  </si>
  <si>
    <t>на 100 000 кв.м.</t>
  </si>
  <si>
    <t>3.2.3.1.5</t>
  </si>
  <si>
    <t>Стрижка газонов</t>
  </si>
  <si>
    <t>на 100 кв.м.</t>
  </si>
  <si>
    <t>3.2.3.2</t>
  </si>
  <si>
    <t>Содержание урн</t>
  </si>
  <si>
    <t>3.2.3.2.10</t>
  </si>
  <si>
    <t>Очистка опрокидывающихся урн от мусора</t>
  </si>
  <si>
    <t>на 100 урн</t>
  </si>
  <si>
    <t>3.2.7</t>
  </si>
  <si>
    <t>Сдвижка и  подметание снега  при снегопаде</t>
  </si>
  <si>
    <t>3.2.7.1</t>
  </si>
  <si>
    <t>Сдвижка и подметание снега при снегопаде на придомовой территории с усовершенствованным покрытием 1 класса</t>
  </si>
  <si>
    <t>10 000 кв.м. территории</t>
  </si>
  <si>
    <t>3.2.8</t>
  </si>
  <si>
    <t>Ликвидация наледи</t>
  </si>
  <si>
    <t>3.2.8.8</t>
  </si>
  <si>
    <t>Посыпка территории I класса</t>
  </si>
  <si>
    <t>Погрузка снега и скола в автосамосвалы арендованными погрузчиками</t>
  </si>
  <si>
    <t>м3</t>
  </si>
  <si>
    <t>Вывоз снега с придомовой территории</t>
  </si>
  <si>
    <t>Утилизация вывезенного снега</t>
  </si>
  <si>
    <t>Содержание контейнерной площадки</t>
  </si>
  <si>
    <t>3.1.2</t>
  </si>
  <si>
    <t>Обслуживание мусоропроводов</t>
  </si>
  <si>
    <t>3.1.2.5</t>
  </si>
  <si>
    <t>Дезинфекция мусоросборников</t>
  </si>
  <si>
    <t>3.1.2.5.3</t>
  </si>
  <si>
    <t>Дезинфекция мусоросборников (контейнеров)</t>
  </si>
  <si>
    <t>10 контейнеров</t>
  </si>
  <si>
    <t>3.2.14</t>
  </si>
  <si>
    <t>Очистка контейнерной площадки в холодный период</t>
  </si>
  <si>
    <t>3.2.15</t>
  </si>
  <si>
    <t>Уборка мусора на  контейнерных  площадках</t>
  </si>
  <si>
    <t>Дератизация, дезинсекция</t>
  </si>
  <si>
    <t>3.4</t>
  </si>
  <si>
    <t>Прочие работы</t>
  </si>
  <si>
    <t>3.4.1</t>
  </si>
  <si>
    <t>Дератизация чердаков и подвалов</t>
  </si>
  <si>
    <t>3.4.1.4</t>
  </si>
  <si>
    <t>Дератизация чердаков и подвалов с применением крысида - антикоагулянта III поколения</t>
  </si>
  <si>
    <t>1000 м2  обрабатываемых  помещений</t>
  </si>
  <si>
    <t>3.4.2</t>
  </si>
  <si>
    <t>Дезинсекция  подвалов</t>
  </si>
  <si>
    <t>СОИ</t>
  </si>
  <si>
    <t>Холодная вода на СОИ</t>
  </si>
  <si>
    <t>Электрическая энергия на СОИ</t>
  </si>
  <si>
    <t>Горячая вода на СОИ</t>
  </si>
  <si>
    <t>Управление многоквартирным домом</t>
  </si>
  <si>
    <t>в т.ч. ком. услуги:</t>
  </si>
  <si>
    <t>холодная вода на СОИ</t>
  </si>
  <si>
    <t>электрическая энергия на СОИ</t>
  </si>
  <si>
    <t>горячая вода на СОИ</t>
  </si>
  <si>
    <t>ВСЕГО ПО СМЕТЕ:</t>
  </si>
  <si>
    <t>Проверил:</t>
  </si>
  <si>
    <t>Заместитель директора по ЖКХ</t>
  </si>
  <si>
    <t>(подпись)</t>
  </si>
  <si>
    <t>Заместитель директора по экономики</t>
  </si>
  <si>
    <t>С.И. Мухаметзянова</t>
  </si>
  <si>
    <t>Исп.: Н.В. Кириченкова</t>
  </si>
  <si>
    <t>А.В. Кутырев</t>
  </si>
  <si>
    <t>Ю.А. Кузнецов</t>
  </si>
  <si>
    <t>Д.А. Ковалев</t>
  </si>
  <si>
    <t>Стоимость с инфляцией 23,24,25г.г.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</si>
</sst>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\ ###\ ##0.00"/>
    <numFmt numFmtId="165" formatCode="#,###,##0.00"/>
    <numFmt numFmtId="166" formatCode="#,##0.00_р_.;\-#,##0.00_р_."/>
  </numFmts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FFFFFF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99"/>
      <name val="Times New Roman"/>
      <family val="1"/>
      <charset val="204"/>
    </font>
    <font>
      <b/>
      <sz val="11"/>
      <color rgb="FF70707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546E7A"/>
        <bgColor rgb="FF707070"/>
      </patternFill>
    </fill>
    <fill>
      <patternFill patternType="solid">
        <fgColor rgb="FFDCE6F1"/>
        <bgColor rgb="FFE0EFD4"/>
      </patternFill>
    </fill>
    <fill>
      <patternFill patternType="solid">
        <fgColor rgb="FFF9F7ED"/>
        <bgColor rgb="FFF2F2F2"/>
      </patternFill>
    </fill>
    <fill>
      <patternFill patternType="solid">
        <fgColor rgb="FFF5F2E0"/>
        <bgColor rgb="FFEBF1DE"/>
      </patternFill>
    </fill>
    <fill>
      <patternFill patternType="solid">
        <fgColor rgb="FFEBF1DE"/>
        <bgColor rgb="FFF5F2E0"/>
      </patternFill>
    </fill>
    <fill>
      <patternFill patternType="solid">
        <fgColor rgb="FFF2F2F2"/>
        <bgColor rgb="FFF9F7ED"/>
      </patternFill>
    </fill>
    <fill>
      <patternFill patternType="solid">
        <fgColor rgb="FFE0EFD4"/>
        <bgColor rgb="FFEBF1DE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n">
        <color rgb="FFFFFFFF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FFFFFF"/>
      </left>
      <right/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9" borderId="0" xfId="0" applyFont="1" applyFill="1" applyAlignment="1">
      <alignment horizontal="left" vertical="center"/>
    </xf>
    <xf numFmtId="164" fontId="3" fillId="2" borderId="25" xfId="0" applyNumberFormat="1" applyFont="1" applyFill="1" applyBorder="1" applyAlignment="1">
      <alignment horizontal="center" vertical="center" wrapText="1" indent="1"/>
    </xf>
    <xf numFmtId="164" fontId="4" fillId="6" borderId="13" xfId="0" applyNumberFormat="1" applyFont="1" applyFill="1" applyBorder="1" applyAlignment="1">
      <alignment horizontal="right" vertical="top" indent="1"/>
    </xf>
    <xf numFmtId="0" fontId="3" fillId="0" borderId="0" xfId="0" applyFont="1" applyBorder="1" applyAlignment="1">
      <alignment horizontal="center" vertical="center" wrapText="1" indent="1"/>
    </xf>
    <xf numFmtId="164" fontId="3" fillId="0" borderId="0" xfId="0" applyNumberFormat="1" applyFont="1" applyBorder="1" applyAlignment="1">
      <alignment horizontal="center" vertical="center" wrapText="1" indent="1"/>
    </xf>
    <xf numFmtId="0" fontId="2" fillId="0" borderId="0" xfId="0" applyFont="1"/>
    <xf numFmtId="2" fontId="3" fillId="0" borderId="0" xfId="0" applyNumberFormat="1" applyFont="1" applyBorder="1" applyAlignment="1">
      <alignment horizontal="center" vertical="center" wrapText="1" indent="1"/>
    </xf>
    <xf numFmtId="164" fontId="5" fillId="0" borderId="6" xfId="0" applyNumberFormat="1" applyFont="1" applyBorder="1" applyAlignment="1">
      <alignment horizontal="right" indent="1"/>
    </xf>
    <xf numFmtId="14" fontId="5" fillId="0" borderId="7" xfId="0" applyNumberFormat="1" applyFont="1" applyBorder="1" applyAlignment="1">
      <alignment horizontal="left" indent="1"/>
    </xf>
    <xf numFmtId="164" fontId="5" fillId="0" borderId="8" xfId="0" applyNumberFormat="1" applyFont="1" applyBorder="1" applyAlignment="1">
      <alignment horizontal="right" indent="1"/>
    </xf>
    <xf numFmtId="2" fontId="5" fillId="0" borderId="9" xfId="0" applyNumberFormat="1" applyFont="1" applyBorder="1" applyAlignment="1">
      <alignment horizontal="left" indent="1"/>
    </xf>
    <xf numFmtId="0" fontId="6" fillId="3" borderId="10" xfId="0" applyFont="1" applyFill="1" applyBorder="1" applyAlignment="1">
      <alignment horizontal="center" vertical="top" wrapText="1" indent="1"/>
    </xf>
    <xf numFmtId="49" fontId="6" fillId="3" borderId="11" xfId="0" applyNumberFormat="1" applyFont="1" applyFill="1" applyBorder="1" applyAlignment="1">
      <alignment horizontal="left" vertical="top" wrapText="1" indent="1"/>
    </xf>
    <xf numFmtId="0" fontId="6" fillId="0" borderId="0" xfId="0" applyFont="1"/>
    <xf numFmtId="164" fontId="3" fillId="2" borderId="3" xfId="0" applyNumberFormat="1" applyFont="1" applyFill="1" applyBorder="1" applyAlignment="1">
      <alignment horizontal="right" vertical="center" wrapText="1" indent="1"/>
    </xf>
    <xf numFmtId="2" fontId="3" fillId="2" borderId="4" xfId="0" applyNumberFormat="1" applyFont="1" applyFill="1" applyBorder="1" applyAlignment="1">
      <alignment horizontal="right" vertical="center" wrapText="1" indent="1"/>
    </xf>
    <xf numFmtId="0" fontId="3" fillId="0" borderId="0" xfId="0" applyFont="1" applyAlignment="1">
      <alignment horizontal="right" vertical="center" wrapText="1" indent="1"/>
    </xf>
    <xf numFmtId="0" fontId="5" fillId="0" borderId="7" xfId="0" applyFont="1" applyBorder="1" applyAlignment="1">
      <alignment horizontal="left" indent="1"/>
    </xf>
    <xf numFmtId="165" fontId="5" fillId="0" borderId="6" xfId="0" applyNumberFormat="1" applyFont="1" applyBorder="1" applyAlignment="1">
      <alignment horizontal="right" indent="1"/>
    </xf>
    <xf numFmtId="165" fontId="5" fillId="0" borderId="8" xfId="0" applyNumberFormat="1" applyFont="1" applyBorder="1" applyAlignment="1">
      <alignment horizontal="right" indent="1"/>
    </xf>
    <xf numFmtId="165" fontId="3" fillId="2" borderId="3" xfId="0" applyNumberFormat="1" applyFont="1" applyFill="1" applyBorder="1" applyAlignment="1">
      <alignment horizontal="right" vertical="center" wrapText="1" indent="1"/>
    </xf>
    <xf numFmtId="0" fontId="4" fillId="0" borderId="10" xfId="0" applyFont="1" applyBorder="1" applyAlignment="1">
      <alignment horizontal="center" vertical="top" wrapText="1" indent="1"/>
    </xf>
    <xf numFmtId="0" fontId="7" fillId="0" borderId="5" xfId="0" applyFont="1" applyBorder="1" applyAlignment="1">
      <alignment horizontal="left" vertical="center" indent="1"/>
    </xf>
    <xf numFmtId="164" fontId="5" fillId="0" borderId="6" xfId="0" applyNumberFormat="1" applyFont="1" applyBorder="1" applyAlignment="1">
      <alignment horizontal="center"/>
    </xf>
    <xf numFmtId="164" fontId="5" fillId="0" borderId="7" xfId="0" applyNumberFormat="1" applyFont="1" applyBorder="1" applyAlignment="1">
      <alignment horizontal="center"/>
    </xf>
    <xf numFmtId="0" fontId="6" fillId="3" borderId="12" xfId="0" applyFont="1" applyFill="1" applyBorder="1" applyAlignment="1">
      <alignment horizontal="left" vertical="top" wrapText="1"/>
    </xf>
    <xf numFmtId="49" fontId="4" fillId="0" borderId="11" xfId="0" applyNumberFormat="1" applyFont="1" applyBorder="1" applyAlignment="1">
      <alignment horizontal="left" vertical="top" wrapText="1" indent="1"/>
    </xf>
    <xf numFmtId="0" fontId="4" fillId="0" borderId="11" xfId="0" applyFont="1" applyBorder="1" applyAlignment="1">
      <alignment horizontal="left" vertical="top" wrapText="1"/>
    </xf>
    <xf numFmtId="0" fontId="4" fillId="4" borderId="11" xfId="0" applyFont="1" applyFill="1" applyBorder="1" applyAlignment="1">
      <alignment horizontal="center" vertical="top"/>
    </xf>
    <xf numFmtId="166" fontId="4" fillId="5" borderId="11" xfId="0" applyNumberFormat="1" applyFont="1" applyFill="1" applyBorder="1" applyAlignment="1">
      <alignment horizontal="center" vertical="top"/>
    </xf>
    <xf numFmtId="164" fontId="4" fillId="0" borderId="11" xfId="0" applyNumberFormat="1" applyFont="1" applyBorder="1" applyAlignment="1">
      <alignment horizontal="center" vertical="top"/>
    </xf>
    <xf numFmtId="164" fontId="4" fillId="6" borderId="11" xfId="0" applyNumberFormat="1" applyFont="1" applyFill="1" applyBorder="1" applyAlignment="1">
      <alignment horizontal="center" vertical="top"/>
    </xf>
    <xf numFmtId="164" fontId="4" fillId="6" borderId="13" xfId="0" applyNumberFormat="1" applyFont="1" applyFill="1" applyBorder="1" applyAlignment="1">
      <alignment horizontal="center" vertical="top"/>
    </xf>
    <xf numFmtId="164" fontId="4" fillId="0" borderId="12" xfId="0" applyNumberFormat="1" applyFont="1" applyBorder="1" applyAlignment="1">
      <alignment horizontal="center" vertical="top"/>
    </xf>
    <xf numFmtId="0" fontId="3" fillId="2" borderId="2" xfId="0" applyFont="1" applyFill="1" applyBorder="1" applyAlignment="1">
      <alignment horizontal="right" vertical="center" wrapText="1" indent="1"/>
    </xf>
    <xf numFmtId="164" fontId="3" fillId="2" borderId="3" xfId="0" applyNumberFormat="1" applyFont="1" applyFill="1" applyBorder="1" applyAlignment="1">
      <alignment horizontal="center" vertical="center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indent="1"/>
    </xf>
    <xf numFmtId="0" fontId="2" fillId="0" borderId="15" xfId="0" applyFont="1" applyBorder="1"/>
    <xf numFmtId="0" fontId="2" fillId="0" borderId="16" xfId="0" applyFont="1" applyBorder="1"/>
    <xf numFmtId="0" fontId="2" fillId="0" borderId="11" xfId="0" applyFont="1" applyBorder="1"/>
    <xf numFmtId="0" fontId="2" fillId="0" borderId="11" xfId="0" applyFont="1" applyBorder="1" applyAlignment="1">
      <alignment horizontal="center"/>
    </xf>
    <xf numFmtId="166" fontId="2" fillId="0" borderId="11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2" fillId="0" borderId="20" xfId="0" applyFont="1" applyBorder="1"/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166" fontId="2" fillId="0" borderId="21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1" fillId="0" borderId="5" xfId="0" applyFont="1" applyBorder="1"/>
    <xf numFmtId="0" fontId="1" fillId="0" borderId="22" xfId="0" applyFont="1" applyBorder="1"/>
    <xf numFmtId="0" fontId="1" fillId="0" borderId="23" xfId="0" applyFont="1" applyBorder="1"/>
    <xf numFmtId="0" fontId="1" fillId="0" borderId="23" xfId="0" applyFont="1" applyBorder="1" applyAlignment="1">
      <alignment horizontal="center"/>
    </xf>
    <xf numFmtId="166" fontId="1" fillId="0" borderId="23" xfId="0" applyNumberFormat="1" applyFont="1" applyBorder="1" applyAlignment="1">
      <alignment horizontal="center"/>
    </xf>
    <xf numFmtId="164" fontId="1" fillId="0" borderId="24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 vertical="center" wrapText="1" indent="1"/>
    </xf>
    <xf numFmtId="0" fontId="3" fillId="0" borderId="0" xfId="0" applyFont="1" applyAlignment="1">
      <alignment horizontal="center" vertical="center" wrapText="1" indent="1"/>
    </xf>
    <xf numFmtId="0" fontId="3" fillId="2" borderId="2" xfId="0" applyFont="1" applyFill="1" applyBorder="1" applyAlignment="1">
      <alignment horizontal="center" vertical="center" wrapText="1" indent="1"/>
    </xf>
    <xf numFmtId="49" fontId="3" fillId="2" borderId="3" xfId="0" applyNumberFormat="1" applyFont="1" applyFill="1" applyBorder="1" applyAlignment="1">
      <alignment horizontal="center" vertical="center" wrapText="1" indent="1"/>
    </xf>
    <xf numFmtId="0" fontId="3" fillId="2" borderId="3" xfId="0" applyFont="1" applyFill="1" applyBorder="1" applyAlignment="1">
      <alignment horizontal="center" vertical="center" wrapText="1" indent="1"/>
    </xf>
    <xf numFmtId="164" fontId="3" fillId="2" borderId="3" xfId="0" applyNumberFormat="1" applyFont="1" applyFill="1" applyBorder="1" applyAlignment="1">
      <alignment horizontal="center" vertical="center" wrapText="1" indent="1"/>
    </xf>
    <xf numFmtId="2" fontId="3" fillId="2" borderId="4" xfId="0" applyNumberFormat="1" applyFont="1" applyFill="1" applyBorder="1" applyAlignment="1">
      <alignment horizontal="center" vertical="center" wrapText="1" indent="1"/>
    </xf>
    <xf numFmtId="0" fontId="4" fillId="4" borderId="11" xfId="0" applyFont="1" applyFill="1" applyBorder="1" applyAlignment="1">
      <alignment horizontal="right" vertical="top" indent="1"/>
    </xf>
    <xf numFmtId="0" fontId="4" fillId="5" borderId="11" xfId="0" applyFont="1" applyFill="1" applyBorder="1" applyAlignment="1">
      <alignment horizontal="right" vertical="top" indent="1"/>
    </xf>
    <xf numFmtId="164" fontId="4" fillId="0" borderId="11" xfId="0" applyNumberFormat="1" applyFont="1" applyBorder="1" applyAlignment="1">
      <alignment horizontal="right" vertical="top" indent="1"/>
    </xf>
    <xf numFmtId="164" fontId="4" fillId="6" borderId="11" xfId="0" applyNumberFormat="1" applyFont="1" applyFill="1" applyBorder="1" applyAlignment="1">
      <alignment horizontal="right" vertical="top" indent="1"/>
    </xf>
    <xf numFmtId="2" fontId="4" fillId="0" borderId="12" xfId="0" applyNumberFormat="1" applyFont="1" applyBorder="1" applyAlignment="1">
      <alignment horizontal="right" vertical="top" indent="1"/>
    </xf>
    <xf numFmtId="0" fontId="8" fillId="7" borderId="10" xfId="0" applyFont="1" applyFill="1" applyBorder="1" applyAlignment="1">
      <alignment horizontal="center" vertical="top" wrapText="1" indent="1"/>
    </xf>
    <xf numFmtId="49" fontId="8" fillId="7" borderId="11" xfId="0" applyNumberFormat="1" applyFont="1" applyFill="1" applyBorder="1" applyAlignment="1">
      <alignment horizontal="left" vertical="top" wrapText="1" indent="1"/>
    </xf>
    <xf numFmtId="0" fontId="8" fillId="0" borderId="0" xfId="0" applyFont="1"/>
    <xf numFmtId="165" fontId="4" fillId="0" borderId="11" xfId="0" applyNumberFormat="1" applyFont="1" applyBorder="1" applyAlignment="1">
      <alignment horizontal="right" vertical="top" indent="1"/>
    </xf>
    <xf numFmtId="165" fontId="4" fillId="6" borderId="11" xfId="0" applyNumberFormat="1" applyFont="1" applyFill="1" applyBorder="1" applyAlignment="1">
      <alignment horizontal="right" vertical="top" indent="1"/>
    </xf>
    <xf numFmtId="165" fontId="4" fillId="6" borderId="13" xfId="0" applyNumberFormat="1" applyFont="1" applyFill="1" applyBorder="1" applyAlignment="1">
      <alignment horizontal="right" vertical="top" indent="1"/>
    </xf>
    <xf numFmtId="0" fontId="4" fillId="5" borderId="11" xfId="0" applyFont="1" applyFill="1" applyBorder="1" applyAlignment="1">
      <alignment horizontal="center" vertical="top"/>
    </xf>
    <xf numFmtId="0" fontId="4" fillId="0" borderId="13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center" vertical="top"/>
    </xf>
    <xf numFmtId="166" fontId="4" fillId="0" borderId="11" xfId="0" applyNumberFormat="1" applyFont="1" applyBorder="1" applyAlignment="1">
      <alignment horizontal="center" vertical="top"/>
    </xf>
    <xf numFmtId="164" fontId="4" fillId="0" borderId="13" xfId="0" applyNumberFormat="1" applyFont="1" applyBorder="1" applyAlignment="1">
      <alignment horizontal="center" vertical="top"/>
    </xf>
    <xf numFmtId="164" fontId="4" fillId="8" borderId="11" xfId="0" applyNumberFormat="1" applyFont="1" applyFill="1" applyBorder="1" applyAlignment="1">
      <alignment horizontal="center" vertical="top"/>
    </xf>
    <xf numFmtId="164" fontId="4" fillId="8" borderId="13" xfId="0" applyNumberFormat="1" applyFont="1" applyFill="1" applyBorder="1" applyAlignment="1">
      <alignment horizontal="center" vertical="top"/>
    </xf>
    <xf numFmtId="0" fontId="4" fillId="0" borderId="0" xfId="0" applyFont="1" applyAlignment="1">
      <alignment horizontal="center" vertical="top" wrapText="1" indent="1"/>
    </xf>
    <xf numFmtId="49" fontId="4" fillId="0" borderId="0" xfId="0" applyNumberFormat="1" applyFont="1" applyAlignment="1">
      <alignment horizontal="left" vertical="top" wrapText="1" indent="1"/>
    </xf>
    <xf numFmtId="164" fontId="4" fillId="0" borderId="0" xfId="0" applyNumberFormat="1" applyFont="1" applyAlignment="1">
      <alignment horizontal="right" vertical="top" indent="1"/>
    </xf>
    <xf numFmtId="2" fontId="4" fillId="0" borderId="0" xfId="0" applyNumberFormat="1" applyFont="1" applyAlignment="1">
      <alignment horizontal="right" vertical="top" inden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right" vertical="top" indent="1"/>
    </xf>
    <xf numFmtId="0" fontId="1" fillId="0" borderId="0" xfId="0" applyFont="1" applyBorder="1" applyAlignment="1">
      <alignment horizontal="center"/>
    </xf>
    <xf numFmtId="0" fontId="7" fillId="0" borderId="5" xfId="0" applyFont="1" applyBorder="1" applyAlignment="1">
      <alignment horizontal="left" vertical="center" indent="1"/>
    </xf>
    <xf numFmtId="164" fontId="5" fillId="0" borderId="6" xfId="0" applyNumberFormat="1" applyFont="1" applyBorder="1" applyAlignment="1">
      <alignment horizontal="right" indent="1"/>
    </xf>
    <xf numFmtId="164" fontId="5" fillId="0" borderId="8" xfId="0" applyNumberFormat="1" applyFont="1" applyBorder="1" applyAlignment="1">
      <alignment horizontal="right" indent="1"/>
    </xf>
    <xf numFmtId="0" fontId="6" fillId="3" borderId="12" xfId="0" applyFont="1" applyFill="1" applyBorder="1" applyAlignment="1">
      <alignment horizontal="left" vertical="top" wrapText="1"/>
    </xf>
    <xf numFmtId="0" fontId="8" fillId="7" borderId="12" xfId="0" applyFont="1" applyFill="1" applyBorder="1" applyAlignment="1">
      <alignment indent="1"/>
    </xf>
    <xf numFmtId="0" fontId="8" fillId="7" borderId="12" xfId="0" applyFont="1" applyFill="1" applyBorder="1" applyAlignment="1">
      <alignment indent="4"/>
    </xf>
    <xf numFmtId="0" fontId="8" fillId="7" borderId="12" xfId="0" applyFont="1" applyFill="1" applyBorder="1" applyAlignment="1">
      <alignment indent="5"/>
    </xf>
    <xf numFmtId="0" fontId="3" fillId="2" borderId="2" xfId="0" applyFont="1" applyFill="1" applyBorder="1" applyAlignment="1">
      <alignment horizontal="right" vertical="center" wrapText="1" indent="1"/>
    </xf>
    <xf numFmtId="165" fontId="5" fillId="0" borderId="6" xfId="0" applyNumberFormat="1" applyFont="1" applyBorder="1" applyAlignment="1">
      <alignment horizontal="right" indent="1"/>
    </xf>
    <xf numFmtId="165" fontId="5" fillId="0" borderId="8" xfId="0" applyNumberFormat="1" applyFont="1" applyBorder="1" applyAlignment="1">
      <alignment horizontal="right" indent="1"/>
    </xf>
    <xf numFmtId="0" fontId="8" fillId="7" borderId="12" xfId="0" applyFont="1" applyFill="1" applyBorder="1" applyAlignment="1">
      <alignment indent="7"/>
    </xf>
    <xf numFmtId="0" fontId="2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99"/>
      <rgbColor rgb="FF808000"/>
      <rgbColor rgb="FF800080"/>
      <rgbColor rgb="FF008080"/>
      <rgbColor rgb="FFC0C0C0"/>
      <rgbColor rgb="FF707070"/>
      <rgbColor rgb="FF9999FF"/>
      <rgbColor rgb="FF993366"/>
      <rgbColor rgb="FFF9F7ED"/>
      <rgbColor rgb="FFDCE6F1"/>
      <rgbColor rgb="FF660066"/>
      <rgbColor rgb="FFFF8080"/>
      <rgbColor rgb="FF0066CC"/>
      <rgbColor rgb="FFF2F2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BF1DE"/>
      <rgbColor rgb="FFE0EFD4"/>
      <rgbColor rgb="FFF5F2E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46E7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553"/>
  <sheetViews>
    <sheetView tabSelected="1" zoomScaleNormal="100" workbookViewId="0">
      <selection activeCell="O548" sqref="O548"/>
    </sheetView>
  </sheetViews>
  <sheetFormatPr defaultRowHeight="15" x14ac:dyDescent="0.25"/>
  <cols>
    <col min="1" max="1" width="3" style="13" customWidth="1"/>
    <col min="2" max="2" width="8" style="92" customWidth="1"/>
    <col min="3" max="3" width="13" style="93" customWidth="1"/>
    <col min="4" max="4" width="50" style="96" customWidth="1"/>
    <col min="5" max="5" width="20" style="96" customWidth="1"/>
    <col min="6" max="7" width="12" style="97" customWidth="1"/>
    <col min="8" max="9" width="14" style="94" customWidth="1"/>
    <col min="10" max="10" width="13" style="94" customWidth="1"/>
    <col min="11" max="13" width="14" style="94" customWidth="1"/>
    <col min="14" max="15" width="16" style="94" customWidth="1"/>
    <col min="16" max="16" width="16.5703125" style="95" customWidth="1"/>
    <col min="17" max="1026" width="8.7109375" style="13" customWidth="1"/>
    <col min="1027" max="16384" width="9.140625" style="13"/>
  </cols>
  <sheetData>
    <row r="1" spans="2:16" s="68" customFormat="1" ht="12.75" customHeight="1" x14ac:dyDescent="0.25">
      <c r="B1" s="11"/>
      <c r="C1" s="67"/>
      <c r="D1" s="11"/>
      <c r="E1" s="11"/>
      <c r="F1" s="11"/>
      <c r="G1" s="11"/>
      <c r="H1" s="12"/>
      <c r="I1" s="12"/>
      <c r="J1" s="12"/>
      <c r="K1" s="13"/>
      <c r="L1" s="1" t="s">
        <v>0</v>
      </c>
      <c r="M1" s="2"/>
      <c r="N1" s="2"/>
      <c r="O1" s="2"/>
      <c r="P1" s="2"/>
    </row>
    <row r="2" spans="2:16" s="68" customFormat="1" ht="12.75" customHeight="1" x14ac:dyDescent="0.25">
      <c r="B2" s="11"/>
      <c r="C2" s="67"/>
      <c r="D2" s="11"/>
      <c r="E2" s="11"/>
      <c r="F2" s="11"/>
      <c r="G2" s="11"/>
      <c r="H2" s="12"/>
      <c r="I2" s="12"/>
      <c r="J2" s="12"/>
      <c r="K2" s="13"/>
      <c r="L2" s="3" t="s">
        <v>1</v>
      </c>
      <c r="M2" s="2"/>
      <c r="N2" s="2"/>
      <c r="O2" s="2"/>
      <c r="P2" s="2"/>
    </row>
    <row r="3" spans="2:16" s="68" customFormat="1" ht="12.75" customHeight="1" x14ac:dyDescent="0.25">
      <c r="B3" s="11"/>
      <c r="C3" s="67"/>
      <c r="D3" s="11"/>
      <c r="E3" s="11"/>
      <c r="F3" s="11"/>
      <c r="G3" s="11"/>
      <c r="H3" s="12"/>
      <c r="I3" s="12"/>
      <c r="J3" s="12"/>
      <c r="K3" s="13"/>
      <c r="L3" s="4"/>
      <c r="M3" s="2"/>
      <c r="N3" s="2"/>
      <c r="O3" s="2"/>
      <c r="P3" s="2"/>
    </row>
    <row r="4" spans="2:16" s="68" customFormat="1" ht="12.75" customHeight="1" x14ac:dyDescent="0.25">
      <c r="B4" s="11"/>
      <c r="C4" s="67"/>
      <c r="D4" s="11"/>
      <c r="E4" s="11"/>
      <c r="F4" s="11"/>
      <c r="G4" s="11"/>
      <c r="H4" s="12"/>
      <c r="I4" s="12"/>
      <c r="J4" s="12"/>
      <c r="K4" s="12"/>
      <c r="L4" s="5"/>
      <c r="M4" s="5"/>
      <c r="N4" s="4" t="s">
        <v>1138</v>
      </c>
      <c r="O4" s="4"/>
      <c r="P4" s="4"/>
    </row>
    <row r="5" spans="2:16" s="68" customFormat="1" ht="12.75" customHeight="1" x14ac:dyDescent="0.2">
      <c r="B5" s="11"/>
      <c r="C5" s="67"/>
      <c r="D5" s="98" t="s">
        <v>2</v>
      </c>
      <c r="E5" s="98"/>
      <c r="F5" s="98"/>
      <c r="G5" s="11"/>
      <c r="H5" s="12"/>
      <c r="I5" s="12"/>
      <c r="J5" s="12"/>
      <c r="K5" s="12"/>
      <c r="L5" s="12"/>
      <c r="M5" s="12"/>
      <c r="N5" s="12"/>
      <c r="O5" s="12"/>
      <c r="P5" s="14"/>
    </row>
    <row r="6" spans="2:16" s="68" customFormat="1" ht="12.75" customHeight="1" x14ac:dyDescent="0.25">
      <c r="B6" s="11"/>
      <c r="C6" s="67"/>
      <c r="D6" s="11"/>
      <c r="E6" s="11"/>
      <c r="F6" s="11"/>
      <c r="G6" s="11"/>
      <c r="H6" s="12"/>
      <c r="I6" s="12"/>
      <c r="J6" s="12"/>
      <c r="K6" s="12"/>
      <c r="L6" s="12"/>
      <c r="M6" s="12"/>
      <c r="N6" s="12"/>
      <c r="O6" s="12"/>
      <c r="P6" s="14"/>
    </row>
    <row r="7" spans="2:16" s="68" customFormat="1" ht="39.950000000000003" customHeight="1" x14ac:dyDescent="0.25">
      <c r="B7" s="69" t="s">
        <v>3</v>
      </c>
      <c r="C7" s="70" t="s">
        <v>4</v>
      </c>
      <c r="D7" s="71" t="s">
        <v>5</v>
      </c>
      <c r="E7" s="71" t="s">
        <v>6</v>
      </c>
      <c r="F7" s="71" t="s">
        <v>7</v>
      </c>
      <c r="G7" s="71" t="s">
        <v>8</v>
      </c>
      <c r="H7" s="72" t="s">
        <v>9</v>
      </c>
      <c r="I7" s="72" t="s">
        <v>10</v>
      </c>
      <c r="J7" s="72" t="s">
        <v>11</v>
      </c>
      <c r="K7" s="72" t="s">
        <v>12</v>
      </c>
      <c r="L7" s="72" t="s">
        <v>13</v>
      </c>
      <c r="M7" s="72" t="s">
        <v>14</v>
      </c>
      <c r="N7" s="72" t="s">
        <v>15</v>
      </c>
      <c r="O7" s="9" t="s">
        <v>1141</v>
      </c>
      <c r="P7" s="73" t="s">
        <v>16</v>
      </c>
    </row>
    <row r="8" spans="2:16" x14ac:dyDescent="0.25">
      <c r="B8" s="99" t="s">
        <v>17</v>
      </c>
      <c r="C8" s="99"/>
      <c r="D8" s="99"/>
      <c r="E8" s="99"/>
      <c r="F8" s="99"/>
      <c r="G8" s="99"/>
      <c r="H8" s="99"/>
      <c r="I8" s="99"/>
      <c r="J8" s="99"/>
      <c r="K8" s="99"/>
      <c r="L8" s="99"/>
      <c r="M8" s="100" t="s">
        <v>18</v>
      </c>
      <c r="N8" s="100"/>
      <c r="O8" s="15"/>
      <c r="P8" s="16">
        <v>46085</v>
      </c>
    </row>
    <row r="9" spans="2:16" x14ac:dyDescent="0.25">
      <c r="B9" s="99"/>
      <c r="C9" s="99"/>
      <c r="D9" s="99"/>
      <c r="E9" s="99"/>
      <c r="F9" s="99"/>
      <c r="G9" s="99"/>
      <c r="H9" s="99"/>
      <c r="I9" s="99"/>
      <c r="J9" s="99"/>
      <c r="K9" s="99"/>
      <c r="L9" s="99"/>
      <c r="M9" s="101" t="s">
        <v>19</v>
      </c>
      <c r="N9" s="101"/>
      <c r="O9" s="17"/>
      <c r="P9" s="18">
        <v>14442</v>
      </c>
    </row>
    <row r="10" spans="2:16" s="21" customFormat="1" ht="15.75" customHeight="1" x14ac:dyDescent="0.2">
      <c r="B10" s="19"/>
      <c r="C10" s="20" t="s">
        <v>20</v>
      </c>
      <c r="D10" s="102" t="s">
        <v>21</v>
      </c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2"/>
      <c r="P10" s="102"/>
    </row>
    <row r="11" spans="2:16" x14ac:dyDescent="0.25">
      <c r="B11" s="29">
        <v>1</v>
      </c>
      <c r="C11" s="34" t="s">
        <v>22</v>
      </c>
      <c r="D11" s="35" t="s">
        <v>23</v>
      </c>
      <c r="E11" s="35" t="s">
        <v>24</v>
      </c>
      <c r="F11" s="74">
        <v>1</v>
      </c>
      <c r="G11" s="75">
        <v>1</v>
      </c>
      <c r="H11" s="76">
        <f>F11 * G11 * 499.04682</f>
        <v>499.04682000000003</v>
      </c>
      <c r="I11" s="76">
        <f>F11 * G11 * 0</f>
        <v>0</v>
      </c>
      <c r="J11" s="76">
        <f t="shared" ref="J11:J16" si="0">F11 * G11 * 0</f>
        <v>0</v>
      </c>
      <c r="K11" s="76">
        <f>F11 * G11 * 475.092573</f>
        <v>475.09257300000002</v>
      </c>
      <c r="L11" s="76">
        <f>F11 * G11 * 102.284636</f>
        <v>102.28463600000001</v>
      </c>
      <c r="M11" s="76">
        <f>F11 * G11 * 99.809364</f>
        <v>99.809364000000002</v>
      </c>
      <c r="N11" s="77">
        <f t="shared" ref="N11:N16" si="1">SUM(H11:M11)</f>
        <v>1176.233393</v>
      </c>
      <c r="O11" s="10">
        <f t="shared" ref="O11:O16" si="2">N11*1.07*1.09*1.05</f>
        <v>1440.4330565686951</v>
      </c>
      <c r="P11" s="78">
        <f>IF($P$9&gt;0,O11/$P$9/12,0)</f>
        <v>8.3115972889759911E-3</v>
      </c>
    </row>
    <row r="12" spans="2:16" ht="30" x14ac:dyDescent="0.25">
      <c r="B12" s="29">
        <v>2</v>
      </c>
      <c r="C12" s="34" t="s">
        <v>25</v>
      </c>
      <c r="D12" s="35" t="s">
        <v>26</v>
      </c>
      <c r="E12" s="35" t="s">
        <v>27</v>
      </c>
      <c r="F12" s="74">
        <v>0.05</v>
      </c>
      <c r="G12" s="75">
        <v>2</v>
      </c>
      <c r="H12" s="76">
        <f>F12 * G12 * 9350.726695</f>
        <v>935.07266949999996</v>
      </c>
      <c r="I12" s="76">
        <f>F12 * G12 * 23734.870938</f>
        <v>2373.4870937999999</v>
      </c>
      <c r="J12" s="76">
        <f t="shared" si="0"/>
        <v>0</v>
      </c>
      <c r="K12" s="76">
        <f>F12 * G12 * 8901.89181399999</f>
        <v>890.18918139999903</v>
      </c>
      <c r="L12" s="76">
        <f>F12 * G12 * 4408.686392</f>
        <v>440.86863919999996</v>
      </c>
      <c r="M12" s="76">
        <f>F12 * G12 * 1870.145339</f>
        <v>187.0145339</v>
      </c>
      <c r="N12" s="77">
        <f t="shared" si="1"/>
        <v>4826.6321177999989</v>
      </c>
      <c r="O12" s="10">
        <f t="shared" si="2"/>
        <v>5910.7660909396463</v>
      </c>
      <c r="P12" s="78">
        <f t="shared" ref="P12:P16" si="3">IF($P$9&gt;0,O12/$P$9/12,0)</f>
        <v>3.4106345444650132E-2</v>
      </c>
    </row>
    <row r="13" spans="2:16" x14ac:dyDescent="0.25">
      <c r="B13" s="29">
        <v>3</v>
      </c>
      <c r="C13" s="34" t="s">
        <v>28</v>
      </c>
      <c r="D13" s="35" t="s">
        <v>29</v>
      </c>
      <c r="E13" s="35" t="s">
        <v>30</v>
      </c>
      <c r="F13" s="74">
        <v>4.0682</v>
      </c>
      <c r="G13" s="75">
        <v>2</v>
      </c>
      <c r="H13" s="76">
        <f>F13 * G13 * 678.213195</f>
        <v>5518.2138397980007</v>
      </c>
      <c r="I13" s="76">
        <f>F13 * G13 * 1094.030647</f>
        <v>8901.4709562507996</v>
      </c>
      <c r="J13" s="76">
        <f t="shared" si="0"/>
        <v>0</v>
      </c>
      <c r="K13" s="76">
        <f>F13 * G13 * 645.658962</f>
        <v>5253.3395784167997</v>
      </c>
      <c r="L13" s="76">
        <f>F13 * G13 * 253.879794</f>
        <v>2065.6675559015998</v>
      </c>
      <c r="M13" s="76">
        <f>F13 * G13 * 135.642639</f>
        <v>1103.6427679596</v>
      </c>
      <c r="N13" s="77">
        <f t="shared" si="1"/>
        <v>22842.334698326798</v>
      </c>
      <c r="O13" s="10">
        <f t="shared" si="2"/>
        <v>27973.065706591478</v>
      </c>
      <c r="P13" s="78">
        <f t="shared" si="3"/>
        <v>0.16141038698813345</v>
      </c>
    </row>
    <row r="14" spans="2:16" x14ac:dyDescent="0.25">
      <c r="B14" s="29">
        <v>4</v>
      </c>
      <c r="C14" s="34" t="s">
        <v>31</v>
      </c>
      <c r="D14" s="35" t="s">
        <v>32</v>
      </c>
      <c r="E14" s="35" t="s">
        <v>33</v>
      </c>
      <c r="F14" s="74">
        <v>0.29830000000000001</v>
      </c>
      <c r="G14" s="75">
        <v>1</v>
      </c>
      <c r="H14" s="76">
        <f>F14 * G14 * 7479.796585</f>
        <v>2231.2233213055001</v>
      </c>
      <c r="I14" s="76">
        <f>F14 * G14 * 49695.914682</f>
        <v>14824.291349640602</v>
      </c>
      <c r="J14" s="76">
        <f t="shared" si="0"/>
        <v>0</v>
      </c>
      <c r="K14" s="76">
        <f>F14 * G14 * 7120.76634899999</f>
        <v>2124.1246019066971</v>
      </c>
      <c r="L14" s="76">
        <f>F14 * G14 * 6751.13015</f>
        <v>2013.862123745</v>
      </c>
      <c r="M14" s="76">
        <f>F14 * G14 * 1495.959317</f>
        <v>446.24466426110001</v>
      </c>
      <c r="N14" s="77">
        <f t="shared" si="1"/>
        <v>21639.746060858895</v>
      </c>
      <c r="O14" s="10">
        <f t="shared" si="2"/>
        <v>26500.357622318723</v>
      </c>
      <c r="P14" s="78">
        <f t="shared" si="3"/>
        <v>0.15291255609979412</v>
      </c>
    </row>
    <row r="15" spans="2:16" ht="45" x14ac:dyDescent="0.25">
      <c r="B15" s="29">
        <v>5</v>
      </c>
      <c r="C15" s="34" t="s">
        <v>34</v>
      </c>
      <c r="D15" s="35" t="s">
        <v>35</v>
      </c>
      <c r="E15" s="35" t="s">
        <v>36</v>
      </c>
      <c r="F15" s="74">
        <v>0.11</v>
      </c>
      <c r="G15" s="75">
        <v>1</v>
      </c>
      <c r="H15" s="76">
        <f>F15 * G15 * 13047.290225</f>
        <v>1435.20192475</v>
      </c>
      <c r="I15" s="76">
        <f>F15 * G15 * 11889.934531</f>
        <v>1307.8927984100001</v>
      </c>
      <c r="J15" s="76">
        <f t="shared" si="0"/>
        <v>0</v>
      </c>
      <c r="K15" s="76">
        <f>F15 * G15 * 12421.020294</f>
        <v>1366.31223234</v>
      </c>
      <c r="L15" s="76">
        <f>F15 * G15 * 3922.61573</f>
        <v>431.48773030000001</v>
      </c>
      <c r="M15" s="76">
        <f>F15 * G15 * 2609.458045</f>
        <v>287.04038494999998</v>
      </c>
      <c r="N15" s="77">
        <f t="shared" si="1"/>
        <v>4827.9350707500007</v>
      </c>
      <c r="O15" s="10">
        <f t="shared" si="2"/>
        <v>5912.3617066665129</v>
      </c>
      <c r="P15" s="78">
        <f t="shared" si="3"/>
        <v>3.4115552478110794E-2</v>
      </c>
    </row>
    <row r="16" spans="2:16" x14ac:dyDescent="0.25">
      <c r="B16" s="29">
        <v>6</v>
      </c>
      <c r="C16" s="34" t="s">
        <v>37</v>
      </c>
      <c r="D16" s="35" t="s">
        <v>38</v>
      </c>
      <c r="E16" s="35" t="s">
        <v>39</v>
      </c>
      <c r="F16" s="74">
        <v>19</v>
      </c>
      <c r="G16" s="75">
        <v>1</v>
      </c>
      <c r="H16" s="76">
        <f>F16 * G16 * 89.07382</f>
        <v>1692.4025799999999</v>
      </c>
      <c r="I16" s="76">
        <f>F16 * G16 * 107.100656</f>
        <v>2034.912464</v>
      </c>
      <c r="J16" s="76">
        <f t="shared" si="0"/>
        <v>0</v>
      </c>
      <c r="K16" s="76">
        <f>F16 * G16 * 84.798277</f>
        <v>1611.167263</v>
      </c>
      <c r="L16" s="76">
        <f>F16 * G16 * 29.502139</f>
        <v>560.54064100000005</v>
      </c>
      <c r="M16" s="76">
        <f>F16 * G16 * 17.814764</f>
        <v>338.48051600000002</v>
      </c>
      <c r="N16" s="77">
        <f t="shared" si="1"/>
        <v>6237.5034639999994</v>
      </c>
      <c r="O16" s="10">
        <f t="shared" si="2"/>
        <v>7638.5403045663606</v>
      </c>
      <c r="P16" s="78">
        <f t="shared" si="3"/>
        <v>4.4075960765858617E-2</v>
      </c>
    </row>
    <row r="17" spans="2:16" s="21" customFormat="1" ht="15" customHeight="1" x14ac:dyDescent="0.2">
      <c r="B17" s="19"/>
      <c r="C17" s="20" t="s">
        <v>40</v>
      </c>
      <c r="D17" s="102" t="s">
        <v>41</v>
      </c>
      <c r="E17" s="102"/>
      <c r="F17" s="102"/>
      <c r="G17" s="102"/>
      <c r="H17" s="102"/>
      <c r="I17" s="102"/>
      <c r="J17" s="102"/>
      <c r="K17" s="102"/>
      <c r="L17" s="102"/>
      <c r="M17" s="102"/>
      <c r="N17" s="102"/>
      <c r="O17" s="102"/>
      <c r="P17" s="102"/>
    </row>
    <row r="18" spans="2:16" s="81" customFormat="1" ht="14.25" x14ac:dyDescent="0.2">
      <c r="B18" s="79"/>
      <c r="C18" s="80" t="s">
        <v>42</v>
      </c>
      <c r="D18" s="103" t="s">
        <v>43</v>
      </c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</row>
    <row r="19" spans="2:16" s="81" customFormat="1" ht="14.25" x14ac:dyDescent="0.2">
      <c r="B19" s="79"/>
      <c r="C19" s="80" t="s">
        <v>44</v>
      </c>
      <c r="D19" s="104" t="s">
        <v>45</v>
      </c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</row>
    <row r="20" spans="2:16" s="81" customFormat="1" ht="14.25" x14ac:dyDescent="0.2">
      <c r="B20" s="79"/>
      <c r="C20" s="80" t="s">
        <v>46</v>
      </c>
      <c r="D20" s="105" t="s">
        <v>47</v>
      </c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5"/>
      <c r="P20" s="105"/>
    </row>
    <row r="21" spans="2:16" ht="45" x14ac:dyDescent="0.25">
      <c r="B21" s="29">
        <v>7</v>
      </c>
      <c r="C21" s="34" t="s">
        <v>48</v>
      </c>
      <c r="D21" s="35" t="s">
        <v>49</v>
      </c>
      <c r="E21" s="35" t="s">
        <v>50</v>
      </c>
      <c r="F21" s="74">
        <v>0.04</v>
      </c>
      <c r="G21" s="75">
        <v>1</v>
      </c>
      <c r="H21" s="76">
        <f>F21 * G21 * 13297.5972</f>
        <v>531.90388800000005</v>
      </c>
      <c r="I21" s="76">
        <f>F21 * G21 * 18642.156727</f>
        <v>745.6862690800001</v>
      </c>
      <c r="J21" s="76">
        <f>F21 * G21 * 0</f>
        <v>0</v>
      </c>
      <c r="K21" s="76">
        <f>F21 * G21 * 12659.3125339999</f>
        <v>506.37250135999602</v>
      </c>
      <c r="L21" s="76">
        <f>F21 * G21 * 4682.901978</f>
        <v>187.31607912000001</v>
      </c>
      <c r="M21" s="76">
        <f>F21 * G21 * 2659.51944</f>
        <v>106.3807776</v>
      </c>
      <c r="N21" s="77">
        <f>SUM(H21:M21)</f>
        <v>2077.6595151599963</v>
      </c>
      <c r="O21" s="10">
        <f>N21*1.07*1.09*1.05</f>
        <v>2544.3330071576593</v>
      </c>
      <c r="P21" s="78">
        <f>IF($P$9&gt;0,O21/$P$9/12,0)</f>
        <v>1.4681328804630356E-2</v>
      </c>
    </row>
    <row r="22" spans="2:16" s="81" customFormat="1" ht="14.25" x14ac:dyDescent="0.2">
      <c r="B22" s="79"/>
      <c r="C22" s="80" t="s">
        <v>51</v>
      </c>
      <c r="D22" s="103" t="s">
        <v>52</v>
      </c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</row>
    <row r="23" spans="2:16" ht="60" x14ac:dyDescent="0.25">
      <c r="B23" s="29">
        <v>8</v>
      </c>
      <c r="C23" s="34" t="s">
        <v>53</v>
      </c>
      <c r="D23" s="35" t="s">
        <v>54</v>
      </c>
      <c r="E23" s="35" t="s">
        <v>55</v>
      </c>
      <c r="F23" s="74">
        <v>0.2712</v>
      </c>
      <c r="G23" s="75">
        <v>0.2</v>
      </c>
      <c r="H23" s="76">
        <f>F23 * G23 * 14997.740156</f>
        <v>813.47742606144004</v>
      </c>
      <c r="I23" s="76">
        <f>F23 * G23 * 33748.482816</f>
        <v>1830.5177079398402</v>
      </c>
      <c r="J23" s="76">
        <f>F23 * G23 * 49.45346</f>
        <v>2.6823556704000002</v>
      </c>
      <c r="K23" s="76">
        <f>F23 * G23 * 14277.848628</f>
        <v>774.43050958271999</v>
      </c>
      <c r="L23" s="76">
        <f>F23 * G23 * 6622.720131</f>
        <v>359.21633990544001</v>
      </c>
      <c r="M23" s="76">
        <f>F23 * G23 * 2999.548031</f>
        <v>162.69548520143999</v>
      </c>
      <c r="N23" s="77">
        <f>SUM(H23:M23)</f>
        <v>3943.0198243612799</v>
      </c>
      <c r="O23" s="10">
        <f>N23*1.07*1.09*1.05</f>
        <v>4828.6812222101889</v>
      </c>
      <c r="P23" s="78">
        <f>IF($P$9&gt;0,O23/$P$9/12,0)</f>
        <v>2.7862491472846498E-2</v>
      </c>
    </row>
    <row r="24" spans="2:16" s="81" customFormat="1" ht="14.25" x14ac:dyDescent="0.2">
      <c r="B24" s="79"/>
      <c r="C24" s="80" t="s">
        <v>56</v>
      </c>
      <c r="D24" s="103" t="s">
        <v>57</v>
      </c>
      <c r="E24" s="103"/>
      <c r="F24" s="103"/>
      <c r="G24" s="103"/>
      <c r="H24" s="103"/>
      <c r="I24" s="103"/>
      <c r="J24" s="103"/>
      <c r="K24" s="103"/>
      <c r="L24" s="103"/>
      <c r="M24" s="103"/>
      <c r="N24" s="103"/>
      <c r="O24" s="103"/>
      <c r="P24" s="103"/>
    </row>
    <row r="25" spans="2:16" ht="45" x14ac:dyDescent="0.25">
      <c r="B25" s="29">
        <v>9</v>
      </c>
      <c r="C25" s="34" t="s">
        <v>58</v>
      </c>
      <c r="D25" s="35" t="s">
        <v>59</v>
      </c>
      <c r="E25" s="35" t="s">
        <v>60</v>
      </c>
      <c r="F25" s="74">
        <v>0.54239999999999999</v>
      </c>
      <c r="G25" s="75">
        <v>0.2</v>
      </c>
      <c r="H25" s="76">
        <f>F25 * G25 * 6937.8768</f>
        <v>752.62087526400001</v>
      </c>
      <c r="I25" s="76">
        <f>F25 * G25 * 7811.443612</f>
        <v>847.38540302976003</v>
      </c>
      <c r="J25" s="76">
        <f>F25 * G25 * 0</f>
        <v>0</v>
      </c>
      <c r="K25" s="76">
        <f>F25 * G25 * 6604.858714</f>
        <v>716.49507329471999</v>
      </c>
      <c r="L25" s="76">
        <f>F25 * G25 * 2242.188809</f>
        <v>243.23264200032003</v>
      </c>
      <c r="M25" s="76">
        <f>F25 * G25 * 1387.57536</f>
        <v>150.52417505280002</v>
      </c>
      <c r="N25" s="77">
        <f>SUM(H25:M25)</f>
        <v>2710.2581686416002</v>
      </c>
      <c r="O25" s="10">
        <f>N25*1.07*1.09*1.05</f>
        <v>3319.0228071910337</v>
      </c>
      <c r="P25" s="78">
        <f>IF($P$9&gt;0,O25/$P$9/12,0)</f>
        <v>1.9151449517558938E-2</v>
      </c>
    </row>
    <row r="26" spans="2:16" s="81" customFormat="1" ht="14.25" x14ac:dyDescent="0.2">
      <c r="B26" s="79"/>
      <c r="C26" s="80" t="s">
        <v>61</v>
      </c>
      <c r="D26" s="103" t="s">
        <v>62</v>
      </c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</row>
    <row r="27" spans="2:16" s="81" customFormat="1" ht="14.25" x14ac:dyDescent="0.2">
      <c r="B27" s="79"/>
      <c r="C27" s="80" t="s">
        <v>63</v>
      </c>
      <c r="D27" s="104" t="s">
        <v>64</v>
      </c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</row>
    <row r="28" spans="2:16" ht="45" x14ac:dyDescent="0.25">
      <c r="B28" s="29">
        <v>10</v>
      </c>
      <c r="C28" s="34" t="s">
        <v>65</v>
      </c>
      <c r="D28" s="35" t="s">
        <v>66</v>
      </c>
      <c r="E28" s="35" t="s">
        <v>67</v>
      </c>
      <c r="F28" s="74"/>
      <c r="G28" s="75">
        <v>1</v>
      </c>
      <c r="H28" s="76">
        <f>F28 * G28 * 30827.8725</f>
        <v>0</v>
      </c>
      <c r="I28" s="76">
        <f>F28 * G28 * 10627.539883</f>
        <v>0</v>
      </c>
      <c r="J28" s="76">
        <f>F28 * G28 * 10113.18</f>
        <v>0</v>
      </c>
      <c r="K28" s="76">
        <f>F28 * G28 * 29348.13462</f>
        <v>0</v>
      </c>
      <c r="L28" s="76">
        <f>F28 * G28 * 8496.256335</f>
        <v>0</v>
      </c>
      <c r="M28" s="76">
        <f>F28 * G28 * 6165.5745</f>
        <v>0</v>
      </c>
      <c r="N28" s="77">
        <f>SUM(H28:M28)</f>
        <v>0</v>
      </c>
      <c r="O28" s="10">
        <f>N28*1.07*1.09*1.05</f>
        <v>0</v>
      </c>
      <c r="P28" s="78">
        <f t="shared" ref="P28:P29" si="4">IF($P$9&gt;0,O28/$P$9/12,0)</f>
        <v>0</v>
      </c>
    </row>
    <row r="29" spans="2:16" ht="45" x14ac:dyDescent="0.25">
      <c r="B29" s="29">
        <v>11</v>
      </c>
      <c r="C29" s="34" t="s">
        <v>68</v>
      </c>
      <c r="D29" s="35" t="s">
        <v>69</v>
      </c>
      <c r="E29" s="35" t="s">
        <v>67</v>
      </c>
      <c r="F29" s="74">
        <v>2.7099999999999999E-2</v>
      </c>
      <c r="G29" s="75">
        <v>1</v>
      </c>
      <c r="H29" s="76">
        <f>F29 * G29 * 30827.8725</f>
        <v>835.43534475000001</v>
      </c>
      <c r="I29" s="76">
        <f>F29 * G29 * 8101.812701</f>
        <v>219.55912419709998</v>
      </c>
      <c r="J29" s="76">
        <f>F29 * G29 * 10113.18</f>
        <v>274.06717800000001</v>
      </c>
      <c r="K29" s="76">
        <f>F29 * G29 * 29348.13462</f>
        <v>795.33444820199998</v>
      </c>
      <c r="L29" s="76">
        <f>F29 * G29 * 8231.054981</f>
        <v>223.06158998509997</v>
      </c>
      <c r="M29" s="76">
        <f>F29 * G29 * 6165.5745</f>
        <v>167.08706894999997</v>
      </c>
      <c r="N29" s="77">
        <f>SUM(H29:M29)</f>
        <v>2514.5447540841997</v>
      </c>
      <c r="O29" s="10">
        <f>N29*1.07*1.09*1.05</f>
        <v>3079.3492240228225</v>
      </c>
      <c r="P29" s="78">
        <f t="shared" si="4"/>
        <v>1.7768483266530619E-2</v>
      </c>
    </row>
    <row r="30" spans="2:16" s="81" customFormat="1" ht="14.25" x14ac:dyDescent="0.2">
      <c r="B30" s="79"/>
      <c r="C30" s="80" t="s">
        <v>70</v>
      </c>
      <c r="D30" s="103" t="s">
        <v>71</v>
      </c>
      <c r="E30" s="103"/>
      <c r="F30" s="103"/>
      <c r="G30" s="103"/>
      <c r="H30" s="103"/>
      <c r="I30" s="103"/>
      <c r="J30" s="103"/>
      <c r="K30" s="103"/>
      <c r="L30" s="103"/>
      <c r="M30" s="103"/>
      <c r="N30" s="103"/>
      <c r="O30" s="103"/>
      <c r="P30" s="103"/>
    </row>
    <row r="31" spans="2:16" s="81" customFormat="1" ht="14.25" x14ac:dyDescent="0.2">
      <c r="B31" s="79"/>
      <c r="C31" s="80" t="s">
        <v>72</v>
      </c>
      <c r="D31" s="104" t="s">
        <v>73</v>
      </c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</row>
    <row r="32" spans="2:16" ht="30" x14ac:dyDescent="0.25">
      <c r="B32" s="29">
        <v>12</v>
      </c>
      <c r="C32" s="34" t="s">
        <v>74</v>
      </c>
      <c r="D32" s="35" t="s">
        <v>75</v>
      </c>
      <c r="E32" s="35" t="s">
        <v>76</v>
      </c>
      <c r="F32" s="74">
        <v>20.340800000000002</v>
      </c>
      <c r="G32" s="75">
        <v>0.2</v>
      </c>
      <c r="H32" s="76">
        <f>F32 * G32 * 1027.59575</f>
        <v>4180.4239263200006</v>
      </c>
      <c r="I32" s="76">
        <f>F32 * G32 * 2323.750768</f>
        <v>9453.3899243468804</v>
      </c>
      <c r="J32" s="76">
        <f>F32 * G32 * 0</f>
        <v>0</v>
      </c>
      <c r="K32" s="76">
        <f>F32 * G32 * 978.271152999999</f>
        <v>3979.7635737884766</v>
      </c>
      <c r="L32" s="76">
        <f>F32 * G32 * 454.609855</f>
        <v>1849.4256277168001</v>
      </c>
      <c r="M32" s="76">
        <f>F32 * G32 * 205.51915</f>
        <v>836.08478526400017</v>
      </c>
      <c r="N32" s="77">
        <f>SUM(H32:M32)</f>
        <v>20299.087837436156</v>
      </c>
      <c r="O32" s="10">
        <f>N32*1.07*1.09*1.05</f>
        <v>24858.567452041883</v>
      </c>
      <c r="P32" s="78">
        <f>IF($P$9&gt;0,O32/$P$9/12,0)</f>
        <v>0.14343908653026985</v>
      </c>
    </row>
    <row r="33" spans="2:16" s="81" customFormat="1" ht="14.25" x14ac:dyDescent="0.2">
      <c r="B33" s="79"/>
      <c r="C33" s="80" t="s">
        <v>77</v>
      </c>
      <c r="D33" s="104" t="s">
        <v>78</v>
      </c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</row>
    <row r="34" spans="2:16" ht="60" x14ac:dyDescent="0.25">
      <c r="B34" s="29">
        <v>13</v>
      </c>
      <c r="C34" s="34" t="s">
        <v>79</v>
      </c>
      <c r="D34" s="35" t="s">
        <v>80</v>
      </c>
      <c r="E34" s="35" t="s">
        <v>81</v>
      </c>
      <c r="F34" s="74">
        <v>0.40679999999999999</v>
      </c>
      <c r="G34" s="75">
        <v>0.2</v>
      </c>
      <c r="H34" s="76">
        <f>F34 * G34 * 7596.998948</f>
        <v>618.09183440928007</v>
      </c>
      <c r="I34" s="76">
        <f>F34 * G34 * 7106.011704</f>
        <v>578.14511223744</v>
      </c>
      <c r="J34" s="76">
        <f>F34 * G34 * 10396.31145</f>
        <v>845.84389957199994</v>
      </c>
      <c r="K34" s="76">
        <f>F34 * G34 * 10278.820876</f>
        <v>836.28486647136003</v>
      </c>
      <c r="L34" s="76">
        <f>F34 * G34 * 3714.705013</f>
        <v>302.22839985767996</v>
      </c>
      <c r="M34" s="76">
        <f>F34 * G34 * 2159.416151</f>
        <v>175.69009804536</v>
      </c>
      <c r="N34" s="77">
        <f>SUM(H34:M34)</f>
        <v>3356.2842105931204</v>
      </c>
      <c r="O34" s="10">
        <f>N34*1.07*1.09*1.05</f>
        <v>4110.1559885554952</v>
      </c>
      <c r="P34" s="78">
        <f>IF($P$9&gt;0,O34/$P$9/12,0)</f>
        <v>2.371645194891921E-2</v>
      </c>
    </row>
    <row r="35" spans="2:16" s="81" customFormat="1" ht="14.25" x14ac:dyDescent="0.2">
      <c r="B35" s="79"/>
      <c r="C35" s="80" t="s">
        <v>82</v>
      </c>
      <c r="D35" s="103" t="s">
        <v>83</v>
      </c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</row>
    <row r="36" spans="2:16" s="81" customFormat="1" ht="14.25" x14ac:dyDescent="0.2">
      <c r="B36" s="79"/>
      <c r="C36" s="80" t="s">
        <v>84</v>
      </c>
      <c r="D36" s="104" t="s">
        <v>85</v>
      </c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</row>
    <row r="37" spans="2:16" ht="45" x14ac:dyDescent="0.25">
      <c r="B37" s="29">
        <v>14</v>
      </c>
      <c r="C37" s="34" t="s">
        <v>86</v>
      </c>
      <c r="D37" s="35" t="s">
        <v>87</v>
      </c>
      <c r="E37" s="35" t="s">
        <v>88</v>
      </c>
      <c r="F37" s="74">
        <v>0.39329999999999998</v>
      </c>
      <c r="G37" s="75">
        <v>1</v>
      </c>
      <c r="H37" s="76">
        <f>F37 * G37 * 4662.43888</f>
        <v>1833.7372115039998</v>
      </c>
      <c r="I37" s="76">
        <f>F37 * G37 * 2957.723572</f>
        <v>1163.2726808676</v>
      </c>
      <c r="J37" s="76">
        <f>F37 * G37 * 1024.80224</f>
        <v>403.054720992</v>
      </c>
      <c r="K37" s="76">
        <f>F37 * G37 * 4438.641814</f>
        <v>1745.7178254461999</v>
      </c>
      <c r="L37" s="76">
        <f>F37 * G37 * 1373.77868399999</f>
        <v>540.3071564171961</v>
      </c>
      <c r="M37" s="76">
        <f>F37 * G37 * 932.487776</f>
        <v>366.7474423008</v>
      </c>
      <c r="N37" s="77">
        <f>SUM(H37:M37)</f>
        <v>6052.8370375277955</v>
      </c>
      <c r="O37" s="10">
        <f>N37*1.07*1.09*1.05</f>
        <v>7412.3950287121033</v>
      </c>
      <c r="P37" s="78">
        <f>IF($P$9&gt;0,O37/$P$9/12,0)</f>
        <v>4.2771055651987855E-2</v>
      </c>
    </row>
    <row r="38" spans="2:16" s="81" customFormat="1" ht="14.25" x14ac:dyDescent="0.2">
      <c r="B38" s="79"/>
      <c r="C38" s="80" t="s">
        <v>89</v>
      </c>
      <c r="D38" s="103" t="s">
        <v>90</v>
      </c>
      <c r="E38" s="103"/>
      <c r="F38" s="103"/>
      <c r="G38" s="103"/>
      <c r="H38" s="103"/>
      <c r="I38" s="103"/>
      <c r="J38" s="103"/>
      <c r="K38" s="103"/>
      <c r="L38" s="103"/>
      <c r="M38" s="103"/>
      <c r="N38" s="103"/>
      <c r="O38" s="103"/>
      <c r="P38" s="103"/>
    </row>
    <row r="39" spans="2:16" ht="30" x14ac:dyDescent="0.25">
      <c r="B39" s="29">
        <v>15</v>
      </c>
      <c r="C39" s="34" t="s">
        <v>91</v>
      </c>
      <c r="D39" s="35" t="s">
        <v>92</v>
      </c>
      <c r="E39" s="35" t="s">
        <v>93</v>
      </c>
      <c r="F39" s="74">
        <v>1.36</v>
      </c>
      <c r="G39" s="75">
        <v>0.2</v>
      </c>
      <c r="H39" s="76">
        <f>F39 * G39 * 3076.866862</f>
        <v>836.90778646399997</v>
      </c>
      <c r="I39" s="76">
        <f>F39 * G39 * 24.789755</f>
        <v>6.7428133600000004</v>
      </c>
      <c r="J39" s="76">
        <f>F39 * G39 * 0</f>
        <v>0</v>
      </c>
      <c r="K39" s="76">
        <f>F39 * G39 * 2929.177252</f>
        <v>796.73621254400007</v>
      </c>
      <c r="L39" s="76">
        <f>F39 * G39 * 633.237556</f>
        <v>172.24061523200001</v>
      </c>
      <c r="M39" s="76">
        <f>F39 * G39 * 615.373372</f>
        <v>167.38155718400003</v>
      </c>
      <c r="N39" s="77">
        <f>SUM(H39:M39)</f>
        <v>1980.0089847839999</v>
      </c>
      <c r="O39" s="10">
        <f>N39*1.07*1.09*1.05</f>
        <v>2424.7487029012586</v>
      </c>
      <c r="P39" s="78">
        <f t="shared" ref="P39:P40" si="5">IF($P$9&gt;0,O39/$P$9/12,0)</f>
        <v>1.3991302583329056E-2</v>
      </c>
    </row>
    <row r="40" spans="2:16" ht="45" x14ac:dyDescent="0.25">
      <c r="B40" s="29">
        <v>16</v>
      </c>
      <c r="C40" s="34" t="s">
        <v>94</v>
      </c>
      <c r="D40" s="35" t="s">
        <v>95</v>
      </c>
      <c r="E40" s="35" t="s">
        <v>67</v>
      </c>
      <c r="F40" s="74">
        <v>1.36</v>
      </c>
      <c r="G40" s="75">
        <v>0.2</v>
      </c>
      <c r="H40" s="76">
        <f>F40 * G40 * 30827.8725</f>
        <v>8385.1813200000015</v>
      </c>
      <c r="I40" s="76">
        <f>F40 * G40 * 8101.812701</f>
        <v>2203.693054672</v>
      </c>
      <c r="J40" s="76">
        <f>F40 * G40 * 0</f>
        <v>0</v>
      </c>
      <c r="K40" s="76">
        <f>F40 * G40 * 29348.13462</f>
        <v>7982.6926166400008</v>
      </c>
      <c r="L40" s="76">
        <f>F40 * G40 * 7169.171081</f>
        <v>1950.0145340320003</v>
      </c>
      <c r="M40" s="76">
        <f>F40 * G40 * 6165.5745</f>
        <v>1677.0362640000001</v>
      </c>
      <c r="N40" s="77">
        <f>SUM(H40:M40)</f>
        <v>22198.617789344</v>
      </c>
      <c r="O40" s="10">
        <f>N40*1.07*1.09*1.05</f>
        <v>27184.760324097504</v>
      </c>
      <c r="P40" s="78">
        <f t="shared" si="5"/>
        <v>0.15686170154236201</v>
      </c>
    </row>
    <row r="41" spans="2:16" s="81" customFormat="1" ht="14.25" x14ac:dyDescent="0.2">
      <c r="B41" s="79"/>
      <c r="C41" s="80" t="s">
        <v>96</v>
      </c>
      <c r="D41" s="103" t="s">
        <v>97</v>
      </c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</row>
    <row r="42" spans="2:16" x14ac:dyDescent="0.25">
      <c r="B42" s="29">
        <v>17</v>
      </c>
      <c r="C42" s="34" t="s">
        <v>98</v>
      </c>
      <c r="D42" s="35" t="s">
        <v>99</v>
      </c>
      <c r="E42" s="35" t="s">
        <v>100</v>
      </c>
      <c r="F42" s="74">
        <v>0.14000000000000001</v>
      </c>
      <c r="G42" s="75">
        <v>0.2</v>
      </c>
      <c r="H42" s="76">
        <f>F42 * G42 * 6745.158</f>
        <v>188.86442400000004</v>
      </c>
      <c r="I42" s="76">
        <f>F42 * G42 * 1538.831062</f>
        <v>43.087269736000003</v>
      </c>
      <c r="J42" s="76">
        <f>F42 * G42 * 0</f>
        <v>0</v>
      </c>
      <c r="K42" s="76">
        <f>F42 * G42 * 6421.390416</f>
        <v>179.79893164800004</v>
      </c>
      <c r="L42" s="76">
        <f>F42 * G42 * 1544.06484499999</f>
        <v>43.233815659999728</v>
      </c>
      <c r="M42" s="76">
        <f>F42 * G42 * 1349.0316</f>
        <v>37.772884800000007</v>
      </c>
      <c r="N42" s="77">
        <f>SUM(H42:M42)</f>
        <v>492.75732584399975</v>
      </c>
      <c r="O42" s="10">
        <f>N42*1.07*1.09*1.05</f>
        <v>603.43801258844985</v>
      </c>
      <c r="P42" s="78">
        <f>IF($P$9&gt;0,O42/$P$9/12,0)</f>
        <v>3.4819624047249336E-3</v>
      </c>
    </row>
    <row r="43" spans="2:16" s="81" customFormat="1" ht="14.25" x14ac:dyDescent="0.2">
      <c r="B43" s="79"/>
      <c r="C43" s="80" t="s">
        <v>101</v>
      </c>
      <c r="D43" s="103" t="s">
        <v>102</v>
      </c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</row>
    <row r="44" spans="2:16" s="81" customFormat="1" ht="14.25" x14ac:dyDescent="0.2">
      <c r="B44" s="79"/>
      <c r="C44" s="80" t="s">
        <v>103</v>
      </c>
      <c r="D44" s="104" t="s">
        <v>104</v>
      </c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</row>
    <row r="45" spans="2:16" ht="45" x14ac:dyDescent="0.25">
      <c r="B45" s="29">
        <v>18</v>
      </c>
      <c r="C45" s="34" t="s">
        <v>105</v>
      </c>
      <c r="D45" s="35" t="s">
        <v>106</v>
      </c>
      <c r="E45" s="35" t="s">
        <v>107</v>
      </c>
      <c r="F45" s="74">
        <v>6.7799999999999999E-2</v>
      </c>
      <c r="G45" s="75">
        <v>1</v>
      </c>
      <c r="H45" s="76">
        <f>F45 * G45 * 19646.286385</f>
        <v>1332.0182169029999</v>
      </c>
      <c r="I45" s="76">
        <f>F45 * G45 * 2217.473888</f>
        <v>150.34472960639999</v>
      </c>
      <c r="J45" s="76">
        <f>F45 * G45 * 0</f>
        <v>0</v>
      </c>
      <c r="K45" s="76">
        <f>F45 * G45 * 18703.264638</f>
        <v>1268.0813424564001</v>
      </c>
      <c r="L45" s="76">
        <f>F45 * G45 * 4259.537616</f>
        <v>288.79665036479997</v>
      </c>
      <c r="M45" s="76">
        <f>F45 * G45 * 3929.257277</f>
        <v>266.40364338059999</v>
      </c>
      <c r="N45" s="77">
        <f>SUM(H45:M45)</f>
        <v>3305.6445827112002</v>
      </c>
      <c r="O45" s="10">
        <f>N45*1.07*1.09*1.05</f>
        <v>4048.1419406568775</v>
      </c>
      <c r="P45" s="78">
        <f>IF($P$9&gt;0,O45/$P$9/12,0)</f>
        <v>2.335861803915015E-2</v>
      </c>
    </row>
    <row r="46" spans="2:16" s="81" customFormat="1" ht="14.25" x14ac:dyDescent="0.2">
      <c r="B46" s="79"/>
      <c r="C46" s="80" t="s">
        <v>108</v>
      </c>
      <c r="D46" s="103" t="s">
        <v>109</v>
      </c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</row>
    <row r="47" spans="2:16" s="81" customFormat="1" ht="14.25" x14ac:dyDescent="0.2">
      <c r="B47" s="79"/>
      <c r="C47" s="80" t="s">
        <v>110</v>
      </c>
      <c r="D47" s="104" t="s">
        <v>111</v>
      </c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</row>
    <row r="48" spans="2:16" ht="60" x14ac:dyDescent="0.25">
      <c r="B48" s="29">
        <v>19</v>
      </c>
      <c r="C48" s="34" t="s">
        <v>112</v>
      </c>
      <c r="D48" s="35" t="s">
        <v>113</v>
      </c>
      <c r="E48" s="35" t="s">
        <v>114</v>
      </c>
      <c r="F48" s="74">
        <v>0.1898</v>
      </c>
      <c r="G48" s="75">
        <v>1</v>
      </c>
      <c r="H48" s="76">
        <f>F48 * G48 * 6055.30456</f>
        <v>1149.2968054879998</v>
      </c>
      <c r="I48" s="76">
        <f>F48 * G48 * 8453.178247</f>
        <v>1604.4132312806</v>
      </c>
      <c r="J48" s="76">
        <f>F48 * G48 * 0</f>
        <v>0</v>
      </c>
      <c r="K48" s="76">
        <f>F48 * G48 * 5764.649941</f>
        <v>1094.1305588017999</v>
      </c>
      <c r="L48" s="76">
        <f>F48 * G48 * 2128.678939</f>
        <v>404.02326262219998</v>
      </c>
      <c r="M48" s="76">
        <f>F48 * G48 * 1211.060912</f>
        <v>229.85936109759999</v>
      </c>
      <c r="N48" s="77">
        <f>SUM(H48:M48)</f>
        <v>4481.7232192902002</v>
      </c>
      <c r="O48" s="10">
        <f>N48*1.07*1.09*1.05</f>
        <v>5488.3854801910702</v>
      </c>
      <c r="P48" s="78">
        <f>IF($P$9&gt;0,O48/$P$9/12,0)</f>
        <v>3.1669121775556655E-2</v>
      </c>
    </row>
    <row r="49" spans="2:16" s="81" customFormat="1" ht="14.25" x14ac:dyDescent="0.2">
      <c r="B49" s="79"/>
      <c r="C49" s="80" t="s">
        <v>115</v>
      </c>
      <c r="D49" s="103" t="s">
        <v>116</v>
      </c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</row>
    <row r="50" spans="2:16" ht="30" x14ac:dyDescent="0.25">
      <c r="B50" s="29">
        <v>20</v>
      </c>
      <c r="C50" s="34" t="s">
        <v>117</v>
      </c>
      <c r="D50" s="35" t="s">
        <v>118</v>
      </c>
      <c r="E50" s="35" t="s">
        <v>119</v>
      </c>
      <c r="F50" s="74">
        <v>0.1085</v>
      </c>
      <c r="G50" s="75">
        <v>1</v>
      </c>
      <c r="H50" s="76">
        <f>F50 * G50 * 41103.83</f>
        <v>4459.7655549999999</v>
      </c>
      <c r="I50" s="76">
        <f>F50 * G50 * 20433.603425</f>
        <v>2217.0459716125001</v>
      </c>
      <c r="J50" s="76">
        <f>F50 * G50 * 0</f>
        <v>0</v>
      </c>
      <c r="K50" s="76">
        <f>F50 * G50 * 39130.84616</f>
        <v>4245.6968083600004</v>
      </c>
      <c r="L50" s="76">
        <f>F50 * G50 * 10570.169357</f>
        <v>1146.8633752345002</v>
      </c>
      <c r="M50" s="76">
        <f>F50 * G50 * 8220.766</f>
        <v>891.95311099999992</v>
      </c>
      <c r="N50" s="77">
        <f>SUM(H50:M50)</f>
        <v>12961.324821207001</v>
      </c>
      <c r="O50" s="10">
        <f>N50*1.07*1.09*1.05</f>
        <v>15872.632795922415</v>
      </c>
      <c r="P50" s="78">
        <f t="shared" ref="P50:P54" si="6">IF($P$9&gt;0,O50/$P$9/12,0)</f>
        <v>9.1588381087120974E-2</v>
      </c>
    </row>
    <row r="51" spans="2:16" x14ac:dyDescent="0.25">
      <c r="B51" s="29">
        <v>21</v>
      </c>
      <c r="C51" s="34" t="s">
        <v>120</v>
      </c>
      <c r="D51" s="35" t="s">
        <v>121</v>
      </c>
      <c r="E51" s="35" t="s">
        <v>122</v>
      </c>
      <c r="F51" s="74">
        <v>0.54239999999999999</v>
      </c>
      <c r="G51" s="75">
        <v>1</v>
      </c>
      <c r="H51" s="76">
        <f>F51 * G51 * 6167.0016</f>
        <v>3344.9816678399998</v>
      </c>
      <c r="I51" s="76">
        <f>F51 * G51 * 120.736201</f>
        <v>65.487315422400002</v>
      </c>
      <c r="J51" s="76">
        <f>F51 * G51 * 0</f>
        <v>0</v>
      </c>
      <c r="K51" s="76">
        <f>F51 * G51 * 5870.98552299999</f>
        <v>3184.4225476751949</v>
      </c>
      <c r="L51" s="76">
        <f>F51 * G51 * 1276.665949</f>
        <v>692.46361073759999</v>
      </c>
      <c r="M51" s="76">
        <f>F51 * G51 * 1233.40032</f>
        <v>668.99633356799995</v>
      </c>
      <c r="N51" s="77">
        <f>SUM(H51:M51)</f>
        <v>7956.3514752431947</v>
      </c>
      <c r="O51" s="10">
        <f>N51*1.07*1.09*1.05</f>
        <v>9743.4673618549477</v>
      </c>
      <c r="P51" s="78">
        <f t="shared" si="6"/>
        <v>5.6221826165898929E-2</v>
      </c>
    </row>
    <row r="52" spans="2:16" ht="60" x14ac:dyDescent="0.25">
      <c r="B52" s="29">
        <v>22</v>
      </c>
      <c r="C52" s="34" t="s">
        <v>123</v>
      </c>
      <c r="D52" s="35" t="s">
        <v>124</v>
      </c>
      <c r="E52" s="35" t="s">
        <v>114</v>
      </c>
      <c r="F52" s="74">
        <v>0.1085</v>
      </c>
      <c r="G52" s="75">
        <v>1</v>
      </c>
      <c r="H52" s="76">
        <f>F52 * G52 * 6910.411758</f>
        <v>749.77967574299998</v>
      </c>
      <c r="I52" s="76">
        <f>F52 * G52 * 8539.427905</f>
        <v>926.52792769250004</v>
      </c>
      <c r="J52" s="76">
        <f>F52 * G52 * 0</f>
        <v>0</v>
      </c>
      <c r="K52" s="76">
        <f>F52 * G52 * 6578.711994</f>
        <v>713.79025134900007</v>
      </c>
      <c r="L52" s="76">
        <f>F52 * G52 * 2312.997924</f>
        <v>250.96027475399998</v>
      </c>
      <c r="M52" s="76">
        <f>F52 * G52 * 1382.082352</f>
        <v>149.955935192</v>
      </c>
      <c r="N52" s="77">
        <f>SUM(H52:M52)</f>
        <v>2791.0140647304997</v>
      </c>
      <c r="O52" s="10">
        <f>N52*1.07*1.09*1.05</f>
        <v>3417.9176888799411</v>
      </c>
      <c r="P52" s="78">
        <f t="shared" si="6"/>
        <v>1.972209348243515E-2</v>
      </c>
    </row>
    <row r="53" spans="2:16" ht="30" x14ac:dyDescent="0.25">
      <c r="B53" s="29">
        <v>23</v>
      </c>
      <c r="C53" s="34" t="s">
        <v>125</v>
      </c>
      <c r="D53" s="35" t="s">
        <v>126</v>
      </c>
      <c r="E53" s="35" t="s">
        <v>127</v>
      </c>
      <c r="F53" s="74">
        <v>0.54239999999999999</v>
      </c>
      <c r="G53" s="75">
        <v>1</v>
      </c>
      <c r="H53" s="76">
        <f>F53 * G53 * 4047.0948</f>
        <v>2195.1442195199998</v>
      </c>
      <c r="I53" s="76">
        <f>F53 * G53 * 120.736201</f>
        <v>65.487315422400002</v>
      </c>
      <c r="J53" s="76">
        <f>F53 * G53 * 0</f>
        <v>0</v>
      </c>
      <c r="K53" s="76">
        <f>F53 * G53 * 3852.83425</f>
        <v>2089.7772971999998</v>
      </c>
      <c r="L53" s="76">
        <f>F53 * G53 * 842.169851</f>
        <v>456.79292718239998</v>
      </c>
      <c r="M53" s="76">
        <f>F53 * G53 * 809.41896</f>
        <v>439.02884390399998</v>
      </c>
      <c r="N53" s="77">
        <f>SUM(H53:M53)</f>
        <v>5246.2306032287988</v>
      </c>
      <c r="O53" s="10">
        <f>N53*1.07*1.09*1.05</f>
        <v>6424.6126901730368</v>
      </c>
      <c r="P53" s="78">
        <f t="shared" si="6"/>
        <v>3.707134682507638E-2</v>
      </c>
    </row>
    <row r="54" spans="2:16" ht="30" x14ac:dyDescent="0.25">
      <c r="B54" s="29">
        <v>24</v>
      </c>
      <c r="C54" s="34" t="s">
        <v>128</v>
      </c>
      <c r="D54" s="35" t="s">
        <v>129</v>
      </c>
      <c r="E54" s="35" t="s">
        <v>130</v>
      </c>
      <c r="F54" s="74">
        <v>4</v>
      </c>
      <c r="G54" s="75">
        <v>1</v>
      </c>
      <c r="H54" s="76">
        <f>F54 * G54 * 144.68181</f>
        <v>578.72724000000005</v>
      </c>
      <c r="I54" s="76">
        <f>F54 * G54 * 3091.886492</f>
        <v>12367.545968</v>
      </c>
      <c r="J54" s="76">
        <f>F54 * G54 * 0.02856</f>
        <v>0.11423999999999999</v>
      </c>
      <c r="K54" s="76">
        <f>F54 * G54 * 137.737084</f>
        <v>550.94833600000004</v>
      </c>
      <c r="L54" s="76">
        <f>F54 * G54 * 354.305065</f>
        <v>1417.2202600000001</v>
      </c>
      <c r="M54" s="76">
        <f>F54 * G54 * 28.936362</f>
        <v>115.745448</v>
      </c>
      <c r="N54" s="77">
        <f>SUM(H54:M54)</f>
        <v>15030.301492000001</v>
      </c>
      <c r="O54" s="10">
        <f>N54*1.07*1.09*1.05</f>
        <v>18406.332661625584</v>
      </c>
      <c r="P54" s="78">
        <f t="shared" si="6"/>
        <v>0.10620835446167187</v>
      </c>
    </row>
    <row r="55" spans="2:16" s="21" customFormat="1" ht="15" customHeight="1" x14ac:dyDescent="0.2">
      <c r="B55" s="19"/>
      <c r="C55" s="20" t="s">
        <v>131</v>
      </c>
      <c r="D55" s="102" t="s">
        <v>132</v>
      </c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</row>
    <row r="56" spans="2:16" s="81" customFormat="1" ht="14.25" x14ac:dyDescent="0.2">
      <c r="B56" s="79"/>
      <c r="C56" s="80" t="s">
        <v>133</v>
      </c>
      <c r="D56" s="103" t="s">
        <v>134</v>
      </c>
      <c r="E56" s="103"/>
      <c r="F56" s="103"/>
      <c r="G56" s="103"/>
      <c r="H56" s="103"/>
      <c r="I56" s="103"/>
      <c r="J56" s="103"/>
      <c r="K56" s="103"/>
      <c r="L56" s="103"/>
      <c r="M56" s="103"/>
      <c r="N56" s="103"/>
      <c r="O56" s="103"/>
      <c r="P56" s="103"/>
    </row>
    <row r="57" spans="2:16" s="81" customFormat="1" ht="14.25" x14ac:dyDescent="0.2">
      <c r="B57" s="79"/>
      <c r="C57" s="80" t="s">
        <v>135</v>
      </c>
      <c r="D57" s="104" t="s">
        <v>136</v>
      </c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</row>
    <row r="58" spans="2:16" ht="30" x14ac:dyDescent="0.25">
      <c r="B58" s="29">
        <v>25</v>
      </c>
      <c r="C58" s="34" t="s">
        <v>137</v>
      </c>
      <c r="D58" s="35" t="s">
        <v>138</v>
      </c>
      <c r="E58" s="35" t="s">
        <v>139</v>
      </c>
      <c r="F58" s="74">
        <v>2.7099999999999999E-2</v>
      </c>
      <c r="G58" s="75">
        <v>1</v>
      </c>
      <c r="H58" s="76">
        <f>F58 * G58 * 5319.03888</f>
        <v>144.14595364799999</v>
      </c>
      <c r="I58" s="76">
        <f>F58 * G58 * 6136.972387</f>
        <v>166.3119516877</v>
      </c>
      <c r="J58" s="76">
        <f>F58 * G58 * 0</f>
        <v>0</v>
      </c>
      <c r="K58" s="76">
        <f>F58 * G58 * 5063.725014</f>
        <v>137.22694787939997</v>
      </c>
      <c r="L58" s="76">
        <f>F58 * G58 * 1734.572309</f>
        <v>47.006909573899996</v>
      </c>
      <c r="M58" s="76">
        <f>F58 * G58 * 1063.807776</f>
        <v>28.829190729600001</v>
      </c>
      <c r="N58" s="77">
        <f>SUM(H58:M58)</f>
        <v>523.52095351859998</v>
      </c>
      <c r="O58" s="10">
        <f>N58*1.07*1.09*1.05</f>
        <v>641.11161249318047</v>
      </c>
      <c r="P58" s="78">
        <f>IF($P$9&gt;0,O58/$P$9/12,0)</f>
        <v>3.6993468846257468E-3</v>
      </c>
    </row>
    <row r="59" spans="2:16" s="21" customFormat="1" ht="15" customHeight="1" x14ac:dyDescent="0.2">
      <c r="B59" s="19"/>
      <c r="C59" s="20" t="s">
        <v>140</v>
      </c>
      <c r="D59" s="102" t="s">
        <v>141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</row>
    <row r="60" spans="2:16" s="81" customFormat="1" ht="14.25" x14ac:dyDescent="0.2">
      <c r="B60" s="79"/>
      <c r="C60" s="80" t="s">
        <v>142</v>
      </c>
      <c r="D60" s="103" t="s">
        <v>143</v>
      </c>
      <c r="E60" s="103"/>
      <c r="F60" s="103"/>
      <c r="G60" s="103"/>
      <c r="H60" s="103"/>
      <c r="I60" s="103"/>
      <c r="J60" s="103"/>
      <c r="K60" s="103"/>
      <c r="L60" s="103"/>
      <c r="M60" s="103"/>
      <c r="N60" s="103"/>
      <c r="O60" s="103"/>
      <c r="P60" s="103"/>
    </row>
    <row r="61" spans="2:16" x14ac:dyDescent="0.25">
      <c r="B61" s="29">
        <v>26</v>
      </c>
      <c r="C61" s="34" t="s">
        <v>144</v>
      </c>
      <c r="D61" s="35" t="s">
        <v>145</v>
      </c>
      <c r="E61" s="35" t="s">
        <v>146</v>
      </c>
      <c r="F61" s="74">
        <v>1.3561000000000001</v>
      </c>
      <c r="G61" s="75">
        <v>1</v>
      </c>
      <c r="H61" s="76">
        <f>F61 * G61 * 192.318475</f>
        <v>260.8030839475</v>
      </c>
      <c r="I61" s="76">
        <f>F61 * G61 * 96.33312</f>
        <v>130.63734403199999</v>
      </c>
      <c r="J61" s="76">
        <f>F61 * G61 * 0</f>
        <v>0</v>
      </c>
      <c r="K61" s="76">
        <f>F61 * G61 * 183.087188</f>
        <v>248.28453564680001</v>
      </c>
      <c r="L61" s="76">
        <f>F61 * G61 * 49.532572</f>
        <v>67.171120889200012</v>
      </c>
      <c r="M61" s="76">
        <f>F61 * G61 * 38.463695</f>
        <v>52.160616789500004</v>
      </c>
      <c r="N61" s="77">
        <f>SUM(H61:M61)</f>
        <v>759.05670130499993</v>
      </c>
      <c r="O61" s="10">
        <f>N61*1.07*1.09*1.05</f>
        <v>929.5522222686227</v>
      </c>
      <c r="P61" s="78">
        <f>IF($P$9&gt;0,O61/$P$9/12,0)</f>
        <v>5.3637089869167627E-3</v>
      </c>
    </row>
    <row r="62" spans="2:16" s="81" customFormat="1" ht="14.25" x14ac:dyDescent="0.2">
      <c r="B62" s="79"/>
      <c r="C62" s="80" t="s">
        <v>147</v>
      </c>
      <c r="D62" s="103" t="s">
        <v>148</v>
      </c>
      <c r="E62" s="103"/>
      <c r="F62" s="103"/>
      <c r="G62" s="103"/>
      <c r="H62" s="103"/>
      <c r="I62" s="103"/>
      <c r="J62" s="103"/>
      <c r="K62" s="103"/>
      <c r="L62" s="103"/>
      <c r="M62" s="103"/>
      <c r="N62" s="103"/>
      <c r="O62" s="103"/>
      <c r="P62" s="103"/>
    </row>
    <row r="63" spans="2:16" x14ac:dyDescent="0.25">
      <c r="B63" s="29">
        <v>27</v>
      </c>
      <c r="C63" s="34" t="s">
        <v>149</v>
      </c>
      <c r="D63" s="35" t="s">
        <v>150</v>
      </c>
      <c r="E63" s="35" t="s">
        <v>146</v>
      </c>
      <c r="F63" s="74">
        <v>1.3561000000000001</v>
      </c>
      <c r="G63" s="75">
        <v>1</v>
      </c>
      <c r="H63" s="76">
        <f>F63 * G63 * 267.174895</f>
        <v>362.31587510949998</v>
      </c>
      <c r="I63" s="76">
        <f>F63 * G63 * 5.043829</f>
        <v>6.8399365069</v>
      </c>
      <c r="J63" s="76">
        <f>F63 * G63 * 0</f>
        <v>0</v>
      </c>
      <c r="K63" s="76">
        <f>F63 * G63 * 254.3505</f>
        <v>344.92471305000004</v>
      </c>
      <c r="L63" s="76">
        <f>F63 * G63 * 55.289768</f>
        <v>74.978454384800003</v>
      </c>
      <c r="M63" s="76">
        <f>F63 * G63 * 53.434979</f>
        <v>72.4631750219</v>
      </c>
      <c r="N63" s="77">
        <f>SUM(H63:M63)</f>
        <v>861.52215407310007</v>
      </c>
      <c r="O63" s="10">
        <f>N63*1.07*1.09*1.05</f>
        <v>1055.0329527102297</v>
      </c>
      <c r="P63" s="78">
        <f t="shared" ref="P63:P64" si="7">IF($P$9&gt;0,O63/$P$9/12,0)</f>
        <v>6.08775880943446E-3</v>
      </c>
    </row>
    <row r="64" spans="2:16" x14ac:dyDescent="0.25">
      <c r="B64" s="29">
        <v>28</v>
      </c>
      <c r="C64" s="34" t="s">
        <v>151</v>
      </c>
      <c r="D64" s="35" t="s">
        <v>152</v>
      </c>
      <c r="E64" s="35" t="s">
        <v>146</v>
      </c>
      <c r="F64" s="74">
        <v>1.3561000000000001</v>
      </c>
      <c r="G64" s="75">
        <v>1</v>
      </c>
      <c r="H64" s="76">
        <f>F64 * G64 * 143.863405</f>
        <v>195.09316352050001</v>
      </c>
      <c r="I64" s="76">
        <f>F64 * G64 * 86.290013</f>
        <v>117.01788662930001</v>
      </c>
      <c r="J64" s="76">
        <f>F64 * G64 * 0</f>
        <v>0</v>
      </c>
      <c r="K64" s="76">
        <f>F64 * G64 * 136.957961</f>
        <v>185.72869091210003</v>
      </c>
      <c r="L64" s="76">
        <f>F64 * G64 * 38.546695</f>
        <v>52.273173089500006</v>
      </c>
      <c r="M64" s="76">
        <f>F64 * G64 * 28.772681</f>
        <v>39.0186327041</v>
      </c>
      <c r="N64" s="77">
        <f>SUM(H64:M64)</f>
        <v>589.13154685550001</v>
      </c>
      <c r="O64" s="10">
        <f>N64*1.07*1.09*1.05</f>
        <v>721.45932925244824</v>
      </c>
      <c r="P64" s="78">
        <f t="shared" si="7"/>
        <v>4.1629698636641297E-3</v>
      </c>
    </row>
    <row r="65" spans="2:16" s="21" customFormat="1" ht="15" customHeight="1" x14ac:dyDescent="0.2">
      <c r="B65" s="19"/>
      <c r="C65" s="20" t="s">
        <v>153</v>
      </c>
      <c r="D65" s="102" t="s">
        <v>154</v>
      </c>
      <c r="E65" s="102"/>
      <c r="F65" s="102"/>
      <c r="G65" s="102"/>
      <c r="H65" s="102"/>
      <c r="I65" s="102"/>
      <c r="J65" s="102"/>
      <c r="K65" s="102"/>
      <c r="L65" s="102"/>
      <c r="M65" s="102"/>
      <c r="N65" s="102"/>
      <c r="O65" s="102"/>
      <c r="P65" s="102"/>
    </row>
    <row r="66" spans="2:16" s="81" customFormat="1" ht="14.25" x14ac:dyDescent="0.2">
      <c r="B66" s="79"/>
      <c r="C66" s="80" t="s">
        <v>155</v>
      </c>
      <c r="D66" s="103" t="s">
        <v>156</v>
      </c>
      <c r="E66" s="103"/>
      <c r="F66" s="103"/>
      <c r="G66" s="103"/>
      <c r="H66" s="103"/>
      <c r="I66" s="103"/>
      <c r="J66" s="103"/>
      <c r="K66" s="103"/>
      <c r="L66" s="103"/>
      <c r="M66" s="103"/>
      <c r="N66" s="103"/>
      <c r="O66" s="103"/>
      <c r="P66" s="103"/>
    </row>
    <row r="67" spans="2:16" ht="30" x14ac:dyDescent="0.25">
      <c r="B67" s="29">
        <v>29</v>
      </c>
      <c r="C67" s="34" t="s">
        <v>157</v>
      </c>
      <c r="D67" s="35" t="s">
        <v>158</v>
      </c>
      <c r="E67" s="35" t="s">
        <v>159</v>
      </c>
      <c r="F67" s="74">
        <v>0.67800000000000005</v>
      </c>
      <c r="G67" s="75">
        <v>1</v>
      </c>
      <c r="H67" s="76">
        <f>F67 * G67 * 574.941405</f>
        <v>389.81027259000007</v>
      </c>
      <c r="I67" s="76">
        <f>F67 * G67 * 74.282522</f>
        <v>50.363549916000004</v>
      </c>
      <c r="J67" s="76">
        <f>F67 * G67 * 0</f>
        <v>0</v>
      </c>
      <c r="K67" s="76">
        <f>F67 * G67 * 547.344217</f>
        <v>371.09937912599997</v>
      </c>
      <c r="L67" s="76">
        <f>F67 * G67 * 125.639654999999</f>
        <v>85.183686089999327</v>
      </c>
      <c r="M67" s="76">
        <f>F67 * G67 * 114.988281</f>
        <v>77.962054518000002</v>
      </c>
      <c r="N67" s="77">
        <f>SUM(H67:M67)</f>
        <v>974.41894223999952</v>
      </c>
      <c r="O67" s="10">
        <f>N67*1.07*1.09*1.05</f>
        <v>1193.2880529512372</v>
      </c>
      <c r="P67" s="78">
        <f t="shared" ref="P67:P68" si="8">IF($P$9&gt;0,O67/$P$9/12,0)</f>
        <v>6.8855193933852485E-3</v>
      </c>
    </row>
    <row r="68" spans="2:16" ht="30" x14ac:dyDescent="0.25">
      <c r="B68" s="29">
        <v>30</v>
      </c>
      <c r="C68" s="34" t="s">
        <v>160</v>
      </c>
      <c r="D68" s="35" t="s">
        <v>161</v>
      </c>
      <c r="E68" s="35" t="s">
        <v>162</v>
      </c>
      <c r="F68" s="74">
        <v>5.4199999999999998E-2</v>
      </c>
      <c r="G68" s="75">
        <v>1</v>
      </c>
      <c r="H68" s="76">
        <f>F68 * G68 * 6337.556666</f>
        <v>343.4955712972</v>
      </c>
      <c r="I68" s="76">
        <f>F68 * G68 * 24465.64344</f>
        <v>1326.0378744479999</v>
      </c>
      <c r="J68" s="76">
        <f>F68 * G68 * 0</f>
        <v>0</v>
      </c>
      <c r="K68" s="76">
        <f>F68 * G68 * 6033.353946</f>
        <v>327.00778387320003</v>
      </c>
      <c r="L68" s="76">
        <f>F68 * G68 * 3867.838175</f>
        <v>209.63682908499999</v>
      </c>
      <c r="M68" s="76">
        <f>F68 * G68 * 1267.511333</f>
        <v>68.699114248599997</v>
      </c>
      <c r="N68" s="77">
        <f>SUM(H68:M68)</f>
        <v>2274.8771729519999</v>
      </c>
      <c r="O68" s="10">
        <f>N68*1.07*1.09*1.05</f>
        <v>2785.848709154614</v>
      </c>
      <c r="P68" s="78">
        <f t="shared" si="8"/>
        <v>1.6074924463108837E-2</v>
      </c>
    </row>
    <row r="69" spans="2:16" s="81" customFormat="1" ht="14.25" x14ac:dyDescent="0.2">
      <c r="B69" s="79"/>
      <c r="C69" s="80" t="s">
        <v>163</v>
      </c>
      <c r="D69" s="103" t="s">
        <v>164</v>
      </c>
      <c r="E69" s="103"/>
      <c r="F69" s="103"/>
      <c r="G69" s="103"/>
      <c r="H69" s="103"/>
      <c r="I69" s="103"/>
      <c r="J69" s="103"/>
      <c r="K69" s="103"/>
      <c r="L69" s="103"/>
      <c r="M69" s="103"/>
      <c r="N69" s="103"/>
      <c r="O69" s="103"/>
      <c r="P69" s="103"/>
    </row>
    <row r="70" spans="2:16" ht="45" x14ac:dyDescent="0.25">
      <c r="B70" s="29">
        <v>31</v>
      </c>
      <c r="C70" s="34" t="s">
        <v>165</v>
      </c>
      <c r="D70" s="35" t="s">
        <v>166</v>
      </c>
      <c r="E70" s="35" t="s">
        <v>167</v>
      </c>
      <c r="F70" s="74">
        <v>0.85429999999999995</v>
      </c>
      <c r="G70" s="75">
        <v>1</v>
      </c>
      <c r="H70" s="76">
        <f>F70 * G70 * 947.42154</f>
        <v>809.38222162199997</v>
      </c>
      <c r="I70" s="76">
        <f>F70 * G70 * 596.811623</f>
        <v>509.85616952890001</v>
      </c>
      <c r="J70" s="76">
        <f>F70 * G70 * 0</f>
        <v>0</v>
      </c>
      <c r="K70" s="76">
        <f>F70 * G70 * 901.945306</f>
        <v>770.5318749157999</v>
      </c>
      <c r="L70" s="76">
        <f>F70 * G70 * 256.848739</f>
        <v>219.4258777277</v>
      </c>
      <c r="M70" s="76">
        <f>F70 * G70 * 189.484308</f>
        <v>161.87644432439998</v>
      </c>
      <c r="N70" s="77">
        <f>SUM(H70:M70)</f>
        <v>2471.0725881188</v>
      </c>
      <c r="O70" s="10">
        <f>N70*1.07*1.09*1.05</f>
        <v>3026.1125574991047</v>
      </c>
      <c r="P70" s="78">
        <f>IF($P$9&gt;0,O70/$P$9/12,0)</f>
        <v>1.7461296666546097E-2</v>
      </c>
    </row>
    <row r="71" spans="2:16" s="81" customFormat="1" ht="14.25" x14ac:dyDescent="0.2">
      <c r="B71" s="79"/>
      <c r="C71" s="80" t="s">
        <v>168</v>
      </c>
      <c r="D71" s="103" t="s">
        <v>169</v>
      </c>
      <c r="E71" s="103"/>
      <c r="F71" s="103"/>
      <c r="G71" s="103"/>
      <c r="H71" s="103"/>
      <c r="I71" s="103"/>
      <c r="J71" s="103"/>
      <c r="K71" s="103"/>
      <c r="L71" s="103"/>
      <c r="M71" s="103"/>
      <c r="N71" s="103"/>
      <c r="O71" s="103"/>
      <c r="P71" s="103"/>
    </row>
    <row r="72" spans="2:16" ht="60" x14ac:dyDescent="0.25">
      <c r="B72" s="29">
        <v>32</v>
      </c>
      <c r="C72" s="34" t="s">
        <v>170</v>
      </c>
      <c r="D72" s="35" t="s">
        <v>171</v>
      </c>
      <c r="E72" s="35" t="s">
        <v>162</v>
      </c>
      <c r="F72" s="74">
        <v>6.7799999999999999E-2</v>
      </c>
      <c r="G72" s="75">
        <v>1</v>
      </c>
      <c r="H72" s="76">
        <f>F72 * G72 * 47980.936125</f>
        <v>3253.1074692749999</v>
      </c>
      <c r="I72" s="76">
        <f>F72 * G72 * 7247.529432</f>
        <v>491.38249548959999</v>
      </c>
      <c r="J72" s="76">
        <f>F72 * G72 * 209.94316</f>
        <v>14.234146248</v>
      </c>
      <c r="K72" s="76">
        <f>F72 * G72 * 45853.241054</f>
        <v>3108.8497434612</v>
      </c>
      <c r="L72" s="76">
        <f>F72 * G72 * 10635.623226</f>
        <v>721.09525472279995</v>
      </c>
      <c r="M72" s="76">
        <f>F72 * G72 * 9633.033835</f>
        <v>653.11969401299996</v>
      </c>
      <c r="N72" s="77">
        <f>SUM(H72:M72)</f>
        <v>8241.7888032095998</v>
      </c>
      <c r="O72" s="10">
        <f>N72*1.07*1.09*1.05</f>
        <v>10093.018195242526</v>
      </c>
      <c r="P72" s="78">
        <f>IF($P$9&gt;0,O72/$P$9/12,0)</f>
        <v>5.8238806924494103E-2</v>
      </c>
    </row>
    <row r="73" spans="2:16" s="21" customFormat="1" ht="15" customHeight="1" x14ac:dyDescent="0.2">
      <c r="B73" s="19"/>
      <c r="C73" s="20" t="s">
        <v>172</v>
      </c>
      <c r="D73" s="102" t="s">
        <v>173</v>
      </c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</row>
    <row r="74" spans="2:16" s="81" customFormat="1" ht="14.25" x14ac:dyDescent="0.2">
      <c r="B74" s="79"/>
      <c r="C74" s="80" t="s">
        <v>174</v>
      </c>
      <c r="D74" s="103" t="s">
        <v>175</v>
      </c>
      <c r="E74" s="103"/>
      <c r="F74" s="103"/>
      <c r="G74" s="103"/>
      <c r="H74" s="103"/>
      <c r="I74" s="103"/>
      <c r="J74" s="103"/>
      <c r="K74" s="103"/>
      <c r="L74" s="103"/>
      <c r="M74" s="103"/>
      <c r="N74" s="103"/>
      <c r="O74" s="103"/>
      <c r="P74" s="103"/>
    </row>
    <row r="75" spans="2:16" s="81" customFormat="1" ht="14.25" x14ac:dyDescent="0.2">
      <c r="B75" s="79"/>
      <c r="C75" s="80" t="s">
        <v>176</v>
      </c>
      <c r="D75" s="104" t="s">
        <v>177</v>
      </c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</row>
    <row r="76" spans="2:16" x14ac:dyDescent="0.25">
      <c r="B76" s="29">
        <v>33</v>
      </c>
      <c r="C76" s="34" t="s">
        <v>178</v>
      </c>
      <c r="D76" s="35" t="s">
        <v>179</v>
      </c>
      <c r="E76" s="35" t="s">
        <v>180</v>
      </c>
      <c r="F76" s="74">
        <v>9.4899999999999998E-2</v>
      </c>
      <c r="G76" s="75">
        <v>1</v>
      </c>
      <c r="H76" s="76">
        <f>F76 * G76 * 4307.26518</f>
        <v>408.75946558200002</v>
      </c>
      <c r="I76" s="76">
        <f>F76 * G76 * 40964.189954</f>
        <v>3887.5016266346001</v>
      </c>
      <c r="J76" s="76">
        <f>F76 * G76 * 118.48095</f>
        <v>11.243842155000001</v>
      </c>
      <c r="K76" s="76">
        <f>F76 * G76 * 4139.782838</f>
        <v>392.86539132619998</v>
      </c>
      <c r="L76" s="76">
        <f>F76 * G76 * 5200.62048699999</f>
        <v>493.53888421629904</v>
      </c>
      <c r="M76" s="76">
        <f>F76 * G76 * 869.702277</f>
        <v>82.534746087299993</v>
      </c>
      <c r="N76" s="77">
        <f>SUM(H76:M76)</f>
        <v>5276.4439560013989</v>
      </c>
      <c r="O76" s="10">
        <f>N76*1.07*1.09*1.05</f>
        <v>6461.6124151786544</v>
      </c>
      <c r="P76" s="78">
        <f>IF($P$9&gt;0,O76/$P$9/12,0)</f>
        <v>3.7284842907138065E-2</v>
      </c>
    </row>
    <row r="77" spans="2:16" s="81" customFormat="1" ht="14.25" x14ac:dyDescent="0.2">
      <c r="B77" s="79"/>
      <c r="C77" s="80" t="s">
        <v>181</v>
      </c>
      <c r="D77" s="103" t="s">
        <v>182</v>
      </c>
      <c r="E77" s="103"/>
      <c r="F77" s="103"/>
      <c r="G77" s="103"/>
      <c r="H77" s="103"/>
      <c r="I77" s="103"/>
      <c r="J77" s="103"/>
      <c r="K77" s="103"/>
      <c r="L77" s="103"/>
      <c r="M77" s="103"/>
      <c r="N77" s="103"/>
      <c r="O77" s="103"/>
      <c r="P77" s="103"/>
    </row>
    <row r="78" spans="2:16" s="81" customFormat="1" ht="14.25" x14ac:dyDescent="0.2">
      <c r="B78" s="79"/>
      <c r="C78" s="80" t="s">
        <v>183</v>
      </c>
      <c r="D78" s="104" t="s">
        <v>184</v>
      </c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</row>
    <row r="79" spans="2:16" ht="30" x14ac:dyDescent="0.25">
      <c r="B79" s="29">
        <v>34</v>
      </c>
      <c r="C79" s="34" t="s">
        <v>185</v>
      </c>
      <c r="D79" s="35" t="s">
        <v>186</v>
      </c>
      <c r="E79" s="35" t="s">
        <v>60</v>
      </c>
      <c r="F79" s="74">
        <v>9.4899999999999998E-2</v>
      </c>
      <c r="G79" s="75">
        <v>1</v>
      </c>
      <c r="H79" s="76">
        <f>F79 * G79 * 8294.617152</f>
        <v>787.1591677248</v>
      </c>
      <c r="I79" s="76">
        <f>F79 * G79 * 79662.689878</f>
        <v>7559.9892694221999</v>
      </c>
      <c r="J79" s="76">
        <f>F79 * G79 * 226.60841</f>
        <v>21.505138108999997</v>
      </c>
      <c r="K79" s="76">
        <f>F79 * G79 * 7967.155026</f>
        <v>756.08301196740001</v>
      </c>
      <c r="L79" s="76">
        <f>F79 * G79 * 10095.862399</f>
        <v>958.09734166509998</v>
      </c>
      <c r="M79" s="76">
        <f>F79 * G79 * 1673.772064</f>
        <v>158.84096887359999</v>
      </c>
      <c r="N79" s="77">
        <f>SUM(H79:M79)</f>
        <v>10241.674897762097</v>
      </c>
      <c r="O79" s="10">
        <f>N79*1.07*1.09*1.05</f>
        <v>12542.108704922932</v>
      </c>
      <c r="P79" s="78">
        <f t="shared" ref="P79:P80" si="9">IF($P$9&gt;0,O79/$P$9/12,0)</f>
        <v>7.2370566778163989E-2</v>
      </c>
    </row>
    <row r="80" spans="2:16" x14ac:dyDescent="0.25">
      <c r="B80" s="29">
        <v>35</v>
      </c>
      <c r="C80" s="34" t="s">
        <v>187</v>
      </c>
      <c r="D80" s="35" t="s">
        <v>188</v>
      </c>
      <c r="E80" s="35" t="s">
        <v>189</v>
      </c>
      <c r="F80" s="74">
        <v>9.4899999999999998E-2</v>
      </c>
      <c r="G80" s="75">
        <v>1</v>
      </c>
      <c r="H80" s="76">
        <f>F80 * G80 * 23223.66395</f>
        <v>2203.9257088549998</v>
      </c>
      <c r="I80" s="76">
        <f>F80 * G80 * 32635.008571</f>
        <v>3097.0623133878998</v>
      </c>
      <c r="J80" s="76">
        <f>F80 * G80 * 0</f>
        <v>0</v>
      </c>
      <c r="K80" s="76">
        <f>F80 * G80 * 22108.928081</f>
        <v>2098.1372748868998</v>
      </c>
      <c r="L80" s="76">
        <f>F80 * G80 * 8186.59806299999</f>
        <v>776.90815617869907</v>
      </c>
      <c r="M80" s="76">
        <f>F80 * G80 * 4644.73279</f>
        <v>440.78514177099999</v>
      </c>
      <c r="N80" s="77">
        <f>SUM(H80:M80)</f>
        <v>8616.8185950794996</v>
      </c>
      <c r="O80" s="10">
        <f>N80*1.07*1.09*1.05</f>
        <v>10552.285303813283</v>
      </c>
      <c r="P80" s="78">
        <f t="shared" si="9"/>
        <v>6.08888733313327E-2</v>
      </c>
    </row>
    <row r="81" spans="2:16" s="81" customFormat="1" ht="14.25" x14ac:dyDescent="0.2">
      <c r="B81" s="79"/>
      <c r="C81" s="80" t="s">
        <v>190</v>
      </c>
      <c r="D81" s="103" t="s">
        <v>191</v>
      </c>
      <c r="E81" s="103"/>
      <c r="F81" s="103"/>
      <c r="G81" s="103"/>
      <c r="H81" s="103"/>
      <c r="I81" s="103"/>
      <c r="J81" s="103"/>
      <c r="K81" s="103"/>
      <c r="L81" s="103"/>
      <c r="M81" s="103"/>
      <c r="N81" s="103"/>
      <c r="O81" s="103"/>
      <c r="P81" s="103"/>
    </row>
    <row r="82" spans="2:16" x14ac:dyDescent="0.25">
      <c r="B82" s="29">
        <v>36</v>
      </c>
      <c r="C82" s="34" t="s">
        <v>192</v>
      </c>
      <c r="D82" s="35" t="s">
        <v>193</v>
      </c>
      <c r="E82" s="35" t="s">
        <v>194</v>
      </c>
      <c r="F82" s="74">
        <v>0.9</v>
      </c>
      <c r="G82" s="75">
        <v>1</v>
      </c>
      <c r="H82" s="76">
        <f>F82 * G82 * 870.49415</f>
        <v>783.44473500000004</v>
      </c>
      <c r="I82" s="76">
        <f>F82 * G82 * 2886.96601</f>
        <v>2598.269409</v>
      </c>
      <c r="J82" s="76">
        <f>F82 * G82 * 0</f>
        <v>0</v>
      </c>
      <c r="K82" s="76">
        <f>F82 * G82 * 828.710431</f>
        <v>745.83938790000002</v>
      </c>
      <c r="L82" s="76">
        <f>F82 * G82 * 481.547912</f>
        <v>433.39312080000002</v>
      </c>
      <c r="M82" s="76">
        <f>F82 * G82 * 174.09883</f>
        <v>156.68894699999998</v>
      </c>
      <c r="N82" s="77">
        <f>SUM(H82:M82)</f>
        <v>4717.6355997000001</v>
      </c>
      <c r="O82" s="10">
        <f>N82*1.07*1.09*1.05</f>
        <v>5777.287319926616</v>
      </c>
      <c r="P82" s="78">
        <f t="shared" ref="P82:P84" si="10">IF($P$9&gt;0,O82/$P$9/12,0)</f>
        <v>3.3336145270314685E-2</v>
      </c>
    </row>
    <row r="83" spans="2:16" ht="45" x14ac:dyDescent="0.25">
      <c r="B83" s="29">
        <v>37</v>
      </c>
      <c r="C83" s="34" t="s">
        <v>195</v>
      </c>
      <c r="D83" s="35" t="s">
        <v>196</v>
      </c>
      <c r="E83" s="35" t="s">
        <v>67</v>
      </c>
      <c r="F83" s="74">
        <v>6.7799999999999999E-2</v>
      </c>
      <c r="G83" s="75">
        <v>1</v>
      </c>
      <c r="H83" s="76">
        <f>F83 * G83 * 30827.8725</f>
        <v>2090.1297555000001</v>
      </c>
      <c r="I83" s="76">
        <f>F83 * G83 * 10627.539883</f>
        <v>720.5472040674</v>
      </c>
      <c r="J83" s="76">
        <f>F83 * G83 * 0</f>
        <v>0</v>
      </c>
      <c r="K83" s="76">
        <f>F83 * G83 * 29348.13462</f>
        <v>1989.803527236</v>
      </c>
      <c r="L83" s="76">
        <f>F83 * G83 * 7434.372435</f>
        <v>504.05045109299999</v>
      </c>
      <c r="M83" s="76">
        <f>F83 * G83 * 6165.5745</f>
        <v>418.02595109999999</v>
      </c>
      <c r="N83" s="77">
        <f>SUM(H83:M83)</f>
        <v>5722.5568889963997</v>
      </c>
      <c r="O83" s="10">
        <f>N83*1.07*1.09*1.05</f>
        <v>7007.9290046183278</v>
      </c>
      <c r="P83" s="78">
        <f t="shared" si="10"/>
        <v>4.0437202860974519E-2</v>
      </c>
    </row>
    <row r="84" spans="2:16" ht="45" x14ac:dyDescent="0.25">
      <c r="B84" s="29">
        <v>38</v>
      </c>
      <c r="C84" s="34" t="s">
        <v>197</v>
      </c>
      <c r="D84" s="35" t="s">
        <v>198</v>
      </c>
      <c r="E84" s="35" t="s">
        <v>67</v>
      </c>
      <c r="F84" s="74">
        <v>6.7799999999999999E-2</v>
      </c>
      <c r="G84" s="75">
        <v>1</v>
      </c>
      <c r="H84" s="76">
        <f>F84 * G84 * 7177.70196</f>
        <v>486.64819288800004</v>
      </c>
      <c r="I84" s="76">
        <f>F84 * G84 * 2957.723572</f>
        <v>200.53365818159998</v>
      </c>
      <c r="J84" s="76">
        <f>F84 * G84 * 0</f>
        <v>0</v>
      </c>
      <c r="K84" s="76">
        <f>F84 * G84 * 6833.172266</f>
        <v>463.28907963479998</v>
      </c>
      <c r="L84" s="76">
        <f>F84 * G84 * 1781.702769</f>
        <v>120.7994477382</v>
      </c>
      <c r="M84" s="76">
        <f>F84 * G84 * 1435.540392</f>
        <v>97.329638577600008</v>
      </c>
      <c r="N84" s="77">
        <f>SUM(H84:M84)</f>
        <v>1368.6000170201999</v>
      </c>
      <c r="O84" s="10">
        <f>N84*1.07*1.09*1.05</f>
        <v>1676.0081098431924</v>
      </c>
      <c r="P84" s="78">
        <f t="shared" si="10"/>
        <v>9.6709141730323151E-3</v>
      </c>
    </row>
    <row r="85" spans="2:16" s="81" customFormat="1" ht="14.25" x14ac:dyDescent="0.2">
      <c r="B85" s="79"/>
      <c r="C85" s="80" t="s">
        <v>199</v>
      </c>
      <c r="D85" s="103" t="s">
        <v>200</v>
      </c>
      <c r="E85" s="103"/>
      <c r="F85" s="103"/>
      <c r="G85" s="103"/>
      <c r="H85" s="103"/>
      <c r="I85" s="103"/>
      <c r="J85" s="103"/>
      <c r="K85" s="103"/>
      <c r="L85" s="103"/>
      <c r="M85" s="103"/>
      <c r="N85" s="103"/>
      <c r="O85" s="103"/>
      <c r="P85" s="103"/>
    </row>
    <row r="86" spans="2:16" x14ac:dyDescent="0.25">
      <c r="B86" s="29">
        <v>39</v>
      </c>
      <c r="C86" s="34" t="s">
        <v>201</v>
      </c>
      <c r="D86" s="35" t="s">
        <v>202</v>
      </c>
      <c r="E86" s="35" t="s">
        <v>203</v>
      </c>
      <c r="F86" s="74">
        <v>8.14E-2</v>
      </c>
      <c r="G86" s="75">
        <v>1</v>
      </c>
      <c r="H86" s="76">
        <f>F86 * G86 * 28955.434086</f>
        <v>2356.9723346004002</v>
      </c>
      <c r="I86" s="76">
        <f>F86 * G86 * 6866.87143</f>
        <v>558.96333440199999</v>
      </c>
      <c r="J86" s="76">
        <f>F86 * G86 * 6.2216</f>
        <v>0.50643823999999993</v>
      </c>
      <c r="K86" s="76">
        <f>F86 * G86 * 27565.57325</f>
        <v>2243.83766255</v>
      </c>
      <c r="L86" s="76">
        <f>F86 * G86 * 6656.380539</f>
        <v>541.82937587460003</v>
      </c>
      <c r="M86" s="76">
        <f>F86 * G86 * 5791.086817</f>
        <v>471.39446690380004</v>
      </c>
      <c r="N86" s="77">
        <f>SUM(H86:M86)</f>
        <v>6173.5036125708002</v>
      </c>
      <c r="O86" s="10">
        <f>N86*1.07*1.09*1.05</f>
        <v>7560.1651265083919</v>
      </c>
      <c r="P86" s="78">
        <f>IF($P$9&gt;0,O86/$P$9/12,0)</f>
        <v>4.3623719743966623E-2</v>
      </c>
    </row>
    <row r="87" spans="2:16" s="81" customFormat="1" ht="14.25" x14ac:dyDescent="0.2">
      <c r="B87" s="79"/>
      <c r="C87" s="80" t="s">
        <v>204</v>
      </c>
      <c r="D87" s="103" t="s">
        <v>205</v>
      </c>
      <c r="E87" s="103"/>
      <c r="F87" s="103"/>
      <c r="G87" s="103"/>
      <c r="H87" s="103"/>
      <c r="I87" s="103"/>
      <c r="J87" s="103"/>
      <c r="K87" s="103"/>
      <c r="L87" s="103"/>
      <c r="M87" s="103"/>
      <c r="N87" s="103"/>
      <c r="O87" s="103"/>
      <c r="P87" s="103"/>
    </row>
    <row r="88" spans="2:16" ht="30" x14ac:dyDescent="0.25">
      <c r="B88" s="29">
        <v>40</v>
      </c>
      <c r="C88" s="34" t="s">
        <v>206</v>
      </c>
      <c r="D88" s="35" t="s">
        <v>207</v>
      </c>
      <c r="E88" s="35" t="s">
        <v>107</v>
      </c>
      <c r="F88" s="74">
        <v>6.7799999999999999E-2</v>
      </c>
      <c r="G88" s="75">
        <v>1</v>
      </c>
      <c r="H88" s="76">
        <f>F88 * G88 * 3451.114457</f>
        <v>233.98556018460002</v>
      </c>
      <c r="I88" s="76">
        <f>F88 * G88 * 1892.30811</f>
        <v>128.29848985799998</v>
      </c>
      <c r="J88" s="76">
        <f>F88 * G88 * 0.5656</f>
        <v>3.8347680000000002E-2</v>
      </c>
      <c r="K88" s="76">
        <f>F88 * G88 * 3285.460963</f>
        <v>222.7542532914</v>
      </c>
      <c r="L88" s="76">
        <f>F88 * G88 * 906.092159</f>
        <v>61.433048380199999</v>
      </c>
      <c r="M88" s="76">
        <f>F88 * G88 * 690.222891</f>
        <v>46.797112009800003</v>
      </c>
      <c r="N88" s="77">
        <f>SUM(H88:M88)</f>
        <v>693.30681140400009</v>
      </c>
      <c r="O88" s="10">
        <f>N88*1.07*1.09*1.05</f>
        <v>849.03392084750976</v>
      </c>
      <c r="P88" s="78">
        <f t="shared" ref="P88:P89" si="11">IF($P$9&gt;0,O88/$P$9/12,0)</f>
        <v>4.89910169902316E-3</v>
      </c>
    </row>
    <row r="89" spans="2:16" ht="45" x14ac:dyDescent="0.25">
      <c r="B89" s="29">
        <v>41</v>
      </c>
      <c r="C89" s="34" t="s">
        <v>208</v>
      </c>
      <c r="D89" s="35" t="s">
        <v>209</v>
      </c>
      <c r="E89" s="35" t="s">
        <v>67</v>
      </c>
      <c r="F89" s="74">
        <v>4.07E-2</v>
      </c>
      <c r="G89" s="75">
        <v>1</v>
      </c>
      <c r="H89" s="76">
        <f>F89 * G89 * 43159.0215</f>
        <v>1756.5721750500002</v>
      </c>
      <c r="I89" s="76">
        <f>F89 * G89 * 59681.1623039999</f>
        <v>2429.023305772796</v>
      </c>
      <c r="J89" s="76">
        <f>F89 * G89 * 0</f>
        <v>0</v>
      </c>
      <c r="K89" s="76">
        <f>F89 * G89 * 41087.388468</f>
        <v>1672.2567106475999</v>
      </c>
      <c r="L89" s="76">
        <f>F89 * G89 * 15112.395088</f>
        <v>615.07448008159997</v>
      </c>
      <c r="M89" s="76">
        <f>F89 * G89 * 8631.8043</f>
        <v>351.31443501000001</v>
      </c>
      <c r="N89" s="77">
        <f>SUM(H89:M89)</f>
        <v>6824.2411065619963</v>
      </c>
      <c r="O89" s="10">
        <f>N89*1.07*1.09*1.05</f>
        <v>8357.0680227124212</v>
      </c>
      <c r="P89" s="78">
        <f t="shared" si="11"/>
        <v>4.8222014625816025E-2</v>
      </c>
    </row>
    <row r="90" spans="2:16" s="81" customFormat="1" ht="14.25" x14ac:dyDescent="0.2">
      <c r="B90" s="79"/>
      <c r="C90" s="80" t="s">
        <v>210</v>
      </c>
      <c r="D90" s="103" t="s">
        <v>211</v>
      </c>
      <c r="E90" s="103"/>
      <c r="F90" s="103"/>
      <c r="G90" s="103"/>
      <c r="H90" s="103"/>
      <c r="I90" s="103"/>
      <c r="J90" s="103"/>
      <c r="K90" s="103"/>
      <c r="L90" s="103"/>
      <c r="M90" s="103"/>
      <c r="N90" s="103"/>
      <c r="O90" s="103"/>
      <c r="P90" s="103"/>
    </row>
    <row r="91" spans="2:16" ht="45" x14ac:dyDescent="0.25">
      <c r="B91" s="29">
        <v>42</v>
      </c>
      <c r="C91" s="34" t="s">
        <v>212</v>
      </c>
      <c r="D91" s="35" t="s">
        <v>213</v>
      </c>
      <c r="E91" s="35" t="s">
        <v>214</v>
      </c>
      <c r="F91" s="74">
        <v>0.122</v>
      </c>
      <c r="G91" s="75">
        <v>1</v>
      </c>
      <c r="H91" s="76">
        <f>F91 * G91 * 15802.9416</f>
        <v>1927.9588752</v>
      </c>
      <c r="I91" s="76">
        <f>F91 * G91 * 47637.450361</f>
        <v>5811.7689440419999</v>
      </c>
      <c r="J91" s="76">
        <f>F91 * G91 * 0</f>
        <v>0</v>
      </c>
      <c r="K91" s="76">
        <f>F91 * G91 * 15044.400403</f>
        <v>1835.416849166</v>
      </c>
      <c r="L91" s="76">
        <f>F91 * G91 * 8240.903198</f>
        <v>1005.390190156</v>
      </c>
      <c r="M91" s="76">
        <f>F91 * G91 * 3160.58832</f>
        <v>385.59177503999996</v>
      </c>
      <c r="N91" s="77">
        <f>SUM(H91:M91)</f>
        <v>10966.126633604001</v>
      </c>
      <c r="O91" s="10">
        <f>N91*1.07*1.09*1.05</f>
        <v>13429.283167410966</v>
      </c>
      <c r="P91" s="78">
        <f t="shared" ref="P91:P92" si="12">IF($P$9&gt;0,O91/$P$9/12,0)</f>
        <v>7.7489747307684556E-2</v>
      </c>
    </row>
    <row r="92" spans="2:16" ht="30" x14ac:dyDescent="0.25">
      <c r="B92" s="29">
        <v>43</v>
      </c>
      <c r="C92" s="34" t="s">
        <v>215</v>
      </c>
      <c r="D92" s="35" t="s">
        <v>216</v>
      </c>
      <c r="E92" s="35" t="s">
        <v>217</v>
      </c>
      <c r="F92" s="74">
        <v>0.1356</v>
      </c>
      <c r="G92" s="75">
        <v>0.2</v>
      </c>
      <c r="H92" s="76">
        <f>F92 * G92 * 22740.8184</f>
        <v>616.73099500800004</v>
      </c>
      <c r="I92" s="76">
        <f>F92 * G92 * 53191.079831</f>
        <v>1442.5420850167202</v>
      </c>
      <c r="J92" s="76">
        <f>F92 * G92 * 0</f>
        <v>0</v>
      </c>
      <c r="K92" s="76">
        <f>F92 * G92 * 21649.259117</f>
        <v>587.12790725304012</v>
      </c>
      <c r="L92" s="76">
        <f>F92 * G92 * 10246.021522</f>
        <v>277.87210367663999</v>
      </c>
      <c r="M92" s="76">
        <f>F92 * G92 * 4548.16368</f>
        <v>123.3461990016</v>
      </c>
      <c r="N92" s="77">
        <f>SUM(H92:M92)</f>
        <v>3047.6192899560001</v>
      </c>
      <c r="O92" s="10">
        <f>N92*1.07*1.09*1.05</f>
        <v>3732.160296769468</v>
      </c>
      <c r="P92" s="78">
        <f t="shared" si="12"/>
        <v>2.1535338461717374E-2</v>
      </c>
    </row>
    <row r="93" spans="2:16" s="81" customFormat="1" ht="14.25" x14ac:dyDescent="0.2">
      <c r="B93" s="79"/>
      <c r="C93" s="80" t="s">
        <v>218</v>
      </c>
      <c r="D93" s="103" t="s">
        <v>219</v>
      </c>
      <c r="E93" s="103"/>
      <c r="F93" s="103"/>
      <c r="G93" s="103"/>
      <c r="H93" s="103"/>
      <c r="I93" s="103"/>
      <c r="J93" s="103"/>
      <c r="K93" s="103"/>
      <c r="L93" s="103"/>
      <c r="M93" s="103"/>
      <c r="N93" s="103"/>
      <c r="O93" s="103"/>
      <c r="P93" s="103"/>
    </row>
    <row r="94" spans="2:16" ht="30" x14ac:dyDescent="0.25">
      <c r="B94" s="29">
        <v>44</v>
      </c>
      <c r="C94" s="34" t="s">
        <v>220</v>
      </c>
      <c r="D94" s="35" t="s">
        <v>221</v>
      </c>
      <c r="E94" s="35" t="s">
        <v>214</v>
      </c>
      <c r="F94" s="74">
        <v>4.07E-2</v>
      </c>
      <c r="G94" s="75">
        <v>1</v>
      </c>
      <c r="H94" s="76">
        <f>F94 * G94 * 12719.4408</f>
        <v>517.68124055999999</v>
      </c>
      <c r="I94" s="76">
        <f>F94 * G94 * 44825.887243</f>
        <v>1824.4136107900999</v>
      </c>
      <c r="J94" s="76">
        <f>F94 * G94 * 0</f>
        <v>0</v>
      </c>
      <c r="K94" s="76">
        <f>F94 * G94 * 12108.907642</f>
        <v>492.83254102940003</v>
      </c>
      <c r="L94" s="76">
        <f>F94 * G94 * 7313.694746</f>
        <v>297.66737616220001</v>
      </c>
      <c r="M94" s="76">
        <f>F94 * G94 * 2543.88816</f>
        <v>103.536248112</v>
      </c>
      <c r="N94" s="77">
        <f>SUM(H94:M94)</f>
        <v>3236.1310166537</v>
      </c>
      <c r="O94" s="10">
        <f>N94*1.07*1.09*1.05</f>
        <v>3963.0145849593714</v>
      </c>
      <c r="P94" s="78">
        <f t="shared" ref="P94:P95" si="13">IF($P$9&gt;0,O94/$P$9/12,0)</f>
        <v>2.2867415552782228E-2</v>
      </c>
    </row>
    <row r="95" spans="2:16" ht="30" x14ac:dyDescent="0.25">
      <c r="B95" s="29">
        <v>45</v>
      </c>
      <c r="C95" s="34" t="s">
        <v>222</v>
      </c>
      <c r="D95" s="35" t="s">
        <v>223</v>
      </c>
      <c r="E95" s="35" t="s">
        <v>224</v>
      </c>
      <c r="F95" s="74">
        <v>4.07E-2</v>
      </c>
      <c r="G95" s="75">
        <v>1</v>
      </c>
      <c r="H95" s="76">
        <f>F95 * G95 * 41819.9796</f>
        <v>1702.0731697199999</v>
      </c>
      <c r="I95" s="76">
        <f>F95 * G95 * 33790.864713</f>
        <v>1375.2881938191001</v>
      </c>
      <c r="J95" s="76">
        <f>F95 * G95 * 0</f>
        <v>0</v>
      </c>
      <c r="K95" s="76">
        <f>F95 * G95 * 39812.620579</f>
        <v>1620.3736575653002</v>
      </c>
      <c r="L95" s="76">
        <f>F95 * G95 * 12119.463813</f>
        <v>493.26217718909999</v>
      </c>
      <c r="M95" s="76">
        <f>F95 * G95 * 8363.99592</f>
        <v>340.414633944</v>
      </c>
      <c r="N95" s="77">
        <f>SUM(H95:M95)</f>
        <v>5531.4118322375007</v>
      </c>
      <c r="O95" s="10">
        <f>N95*1.07*1.09*1.05</f>
        <v>6773.8499009355282</v>
      </c>
      <c r="P95" s="78">
        <f t="shared" si="13"/>
        <v>3.9086517916121548E-2</v>
      </c>
    </row>
    <row r="96" spans="2:16" s="81" customFormat="1" ht="14.25" x14ac:dyDescent="0.2">
      <c r="B96" s="79"/>
      <c r="C96" s="80" t="s">
        <v>225</v>
      </c>
      <c r="D96" s="103" t="s">
        <v>226</v>
      </c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</row>
    <row r="97" spans="2:16" ht="30" x14ac:dyDescent="0.25">
      <c r="B97" s="29">
        <v>46</v>
      </c>
      <c r="C97" s="34" t="s">
        <v>227</v>
      </c>
      <c r="D97" s="35" t="s">
        <v>228</v>
      </c>
      <c r="E97" s="35" t="s">
        <v>107</v>
      </c>
      <c r="F97" s="74">
        <v>4.07E-2</v>
      </c>
      <c r="G97" s="75">
        <v>0.2</v>
      </c>
      <c r="H97" s="76">
        <f>F97 * G97 * 10214.0964</f>
        <v>83.142744695999994</v>
      </c>
      <c r="I97" s="76">
        <f>F97 * G97 * 4834.205154</f>
        <v>39.350429953560003</v>
      </c>
      <c r="J97" s="76">
        <f>F97 * G97 * 0</f>
        <v>0</v>
      </c>
      <c r="K97" s="76">
        <f>F97 * G97 * 9723.819773</f>
        <v>79.151892952219995</v>
      </c>
      <c r="L97" s="76">
        <f>F97 * G97 * 2601.07274</f>
        <v>21.172732103600001</v>
      </c>
      <c r="M97" s="76">
        <f>F97 * G97 * 2042.81928</f>
        <v>16.628548939199998</v>
      </c>
      <c r="N97" s="77">
        <f>SUM(H97:M97)</f>
        <v>239.44634864457998</v>
      </c>
      <c r="O97" s="10">
        <f>N97*1.07*1.09*1.05</f>
        <v>293.22959024538238</v>
      </c>
      <c r="P97" s="78">
        <f t="shared" ref="P97:P99" si="14">IF($P$9&gt;0,O97/$P$9/12,0)</f>
        <v>1.6919955121946545E-3</v>
      </c>
    </row>
    <row r="98" spans="2:16" x14ac:dyDescent="0.25">
      <c r="B98" s="29">
        <v>47</v>
      </c>
      <c r="C98" s="34" t="s">
        <v>229</v>
      </c>
      <c r="D98" s="35" t="s">
        <v>230</v>
      </c>
      <c r="E98" s="35" t="s">
        <v>231</v>
      </c>
      <c r="F98" s="74">
        <v>0.04</v>
      </c>
      <c r="G98" s="75">
        <v>0.2</v>
      </c>
      <c r="H98" s="76">
        <f>F98 * G98 * 10122.025</f>
        <v>80.976200000000006</v>
      </c>
      <c r="I98" s="76">
        <f>F98 * G98 * 8942.2848</f>
        <v>71.538278399999996</v>
      </c>
      <c r="J98" s="76">
        <f>F98 * G98 * 0</f>
        <v>0</v>
      </c>
      <c r="K98" s="76">
        <f>F98 * G98 * 9636.1678</f>
        <v>77.089342399999992</v>
      </c>
      <c r="L98" s="76">
        <f>F98 * G98 * 3013.550148</f>
        <v>24.108401183999998</v>
      </c>
      <c r="M98" s="76">
        <f>F98 * G98 * 2024.405</f>
        <v>16.195240000000002</v>
      </c>
      <c r="N98" s="77">
        <f>SUM(H98:M98)</f>
        <v>269.90746198400001</v>
      </c>
      <c r="O98" s="10">
        <f>N98*1.07*1.09*1.05</f>
        <v>330.53272655753625</v>
      </c>
      <c r="P98" s="78">
        <f t="shared" si="14"/>
        <v>1.9072423403818505E-3</v>
      </c>
    </row>
    <row r="99" spans="2:16" x14ac:dyDescent="0.25">
      <c r="B99" s="29">
        <v>48</v>
      </c>
      <c r="C99" s="34" t="s">
        <v>232</v>
      </c>
      <c r="D99" s="35" t="s">
        <v>233</v>
      </c>
      <c r="E99" s="35" t="s">
        <v>234</v>
      </c>
      <c r="F99" s="74">
        <v>4.07E-2</v>
      </c>
      <c r="G99" s="75">
        <v>0.2</v>
      </c>
      <c r="H99" s="76">
        <f>F99 * G99 * 10984.9716</f>
        <v>89.417668824000003</v>
      </c>
      <c r="I99" s="76">
        <f>F99 * G99 * 11366.870669</f>
        <v>92.526327245659999</v>
      </c>
      <c r="J99" s="76">
        <f>F99 * G99 * 0</f>
        <v>0</v>
      </c>
      <c r="K99" s="76">
        <f>F99 * G99 * 10457.692963</f>
        <v>85.125620718819988</v>
      </c>
      <c r="L99" s="76">
        <f>F99 * G99 * 3445.001199</f>
        <v>28.042309759859997</v>
      </c>
      <c r="M99" s="76">
        <f>F99 * G99 * 2196.99432</f>
        <v>17.883533764799999</v>
      </c>
      <c r="N99" s="77">
        <f>SUM(H99:M99)</f>
        <v>312.99546031313997</v>
      </c>
      <c r="O99" s="10">
        <f>N99*1.07*1.09*1.05</f>
        <v>383.29893563137597</v>
      </c>
      <c r="P99" s="78">
        <f t="shared" si="14"/>
        <v>2.2117143033708164E-3</v>
      </c>
    </row>
    <row r="100" spans="2:16" s="81" customFormat="1" ht="14.25" x14ac:dyDescent="0.2">
      <c r="B100" s="79"/>
      <c r="C100" s="80" t="s">
        <v>235</v>
      </c>
      <c r="D100" s="103" t="s">
        <v>236</v>
      </c>
      <c r="E100" s="103"/>
      <c r="F100" s="103"/>
      <c r="G100" s="103"/>
      <c r="H100" s="103"/>
      <c r="I100" s="103"/>
      <c r="J100" s="103"/>
      <c r="K100" s="103"/>
      <c r="L100" s="103"/>
      <c r="M100" s="103"/>
      <c r="N100" s="103"/>
      <c r="O100" s="103"/>
      <c r="P100" s="103"/>
    </row>
    <row r="101" spans="2:16" ht="45" x14ac:dyDescent="0.25">
      <c r="B101" s="29">
        <v>49</v>
      </c>
      <c r="C101" s="34" t="s">
        <v>237</v>
      </c>
      <c r="D101" s="35" t="s">
        <v>238</v>
      </c>
      <c r="E101" s="35" t="s">
        <v>239</v>
      </c>
      <c r="F101" s="74">
        <v>0.23050000000000001</v>
      </c>
      <c r="G101" s="75">
        <v>0.2</v>
      </c>
      <c r="H101" s="76">
        <f>F101 * G101 * 7948.598332</f>
        <v>366.43038310520001</v>
      </c>
      <c r="I101" s="76">
        <f>F101 * G101 * 17467.456208</f>
        <v>805.24973118880007</v>
      </c>
      <c r="J101" s="76">
        <f>F101 * G101 * 590.3821</f>
        <v>27.216614810000003</v>
      </c>
      <c r="K101" s="76">
        <f>F101 * G101 * 7734.62394799999</f>
        <v>356.56616400279955</v>
      </c>
      <c r="L101" s="76">
        <f>F101 * G101 * 3542.811362</f>
        <v>163.32360378820002</v>
      </c>
      <c r="M101" s="76">
        <f>F101 * G101 * 1624.920997</f>
        <v>74.908857961699994</v>
      </c>
      <c r="N101" s="77">
        <f>SUM(H101:M101)</f>
        <v>1793.6953548566996</v>
      </c>
      <c r="O101" s="10">
        <f>N101*1.07*1.09*1.05</f>
        <v>2196.5862369878378</v>
      </c>
      <c r="P101" s="78">
        <f>IF($P$9&gt;0,O101/$P$9/12,0)</f>
        <v>1.2674757864722325E-2</v>
      </c>
    </row>
    <row r="102" spans="2:16" s="21" customFormat="1" ht="15" customHeight="1" x14ac:dyDescent="0.2">
      <c r="B102" s="19"/>
      <c r="C102" s="20" t="s">
        <v>240</v>
      </c>
      <c r="D102" s="102" t="s">
        <v>241</v>
      </c>
      <c r="E102" s="102"/>
      <c r="F102" s="102"/>
      <c r="G102" s="102"/>
      <c r="H102" s="102"/>
      <c r="I102" s="102"/>
      <c r="J102" s="102"/>
      <c r="K102" s="102"/>
      <c r="L102" s="102"/>
      <c r="M102" s="102"/>
      <c r="N102" s="102"/>
      <c r="O102" s="102"/>
      <c r="P102" s="102"/>
    </row>
    <row r="103" spans="2:16" s="81" customFormat="1" ht="14.25" x14ac:dyDescent="0.2">
      <c r="B103" s="79"/>
      <c r="C103" s="80" t="s">
        <v>242</v>
      </c>
      <c r="D103" s="103" t="s">
        <v>243</v>
      </c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</row>
    <row r="104" spans="2:16" x14ac:dyDescent="0.25">
      <c r="B104" s="29">
        <v>50</v>
      </c>
      <c r="C104" s="34" t="s">
        <v>244</v>
      </c>
      <c r="D104" s="35" t="s">
        <v>245</v>
      </c>
      <c r="E104" s="35" t="s">
        <v>246</v>
      </c>
      <c r="F104" s="74">
        <v>0.3</v>
      </c>
      <c r="G104" s="75">
        <v>0.5</v>
      </c>
      <c r="H104" s="76">
        <f>F104 * G104 * 13756.16262</f>
        <v>2063.4243929999998</v>
      </c>
      <c r="I104" s="76">
        <f>F104 * G104 * 15070.617201</f>
        <v>2260.5925801499998</v>
      </c>
      <c r="J104" s="76">
        <f t="shared" ref="J104:J111" si="15">F104 * G104 * 0</f>
        <v>0</v>
      </c>
      <c r="K104" s="76">
        <f>F104 * G104 * 13095.866814</f>
        <v>1964.3800221000001</v>
      </c>
      <c r="L104" s="76">
        <f>F104 * G104 * 4401.877897</f>
        <v>660.28168455000002</v>
      </c>
      <c r="M104" s="76">
        <f>F104 * G104 * 2751.232524</f>
        <v>412.68487859999999</v>
      </c>
      <c r="N104" s="77">
        <f t="shared" ref="N104:N111" si="16">SUM(H104:M104)</f>
        <v>7361.3635583999994</v>
      </c>
      <c r="O104" s="10">
        <f t="shared" ref="O104:O111" si="17">N104*1.07*1.09*1.05</f>
        <v>9014.8362340700169</v>
      </c>
      <c r="P104" s="78">
        <f t="shared" ref="P104:P111" si="18">IF($P$9&gt;0,O104/$P$9/12,0)</f>
        <v>5.2017473538233494E-2</v>
      </c>
    </row>
    <row r="105" spans="2:16" ht="30" x14ac:dyDescent="0.25">
      <c r="B105" s="29">
        <v>51</v>
      </c>
      <c r="C105" s="34" t="s">
        <v>247</v>
      </c>
      <c r="D105" s="35" t="s">
        <v>248</v>
      </c>
      <c r="E105" s="35" t="s">
        <v>249</v>
      </c>
      <c r="F105" s="74">
        <v>0.4</v>
      </c>
      <c r="G105" s="75">
        <v>1</v>
      </c>
      <c r="H105" s="76">
        <f>F105 * G105 * 1231.42248</f>
        <v>492.56899199999998</v>
      </c>
      <c r="I105" s="76">
        <f>F105 * G105 * 365.698861</f>
        <v>146.27954440000002</v>
      </c>
      <c r="J105" s="76">
        <f t="shared" si="15"/>
        <v>0</v>
      </c>
      <c r="K105" s="76">
        <f>F105 * G105 * 1172.314201</f>
        <v>468.92568039999998</v>
      </c>
      <c r="L105" s="76">
        <f>F105 * G105 * 290.790732</f>
        <v>116.3162928</v>
      </c>
      <c r="M105" s="76">
        <f>F105 * G105 * 246.284496</f>
        <v>98.513798399999999</v>
      </c>
      <c r="N105" s="77">
        <f t="shared" si="16"/>
        <v>1322.6043079999999</v>
      </c>
      <c r="O105" s="10">
        <f t="shared" si="17"/>
        <v>1619.6810746414203</v>
      </c>
      <c r="P105" s="78">
        <f t="shared" si="18"/>
        <v>9.3458955052475434E-3</v>
      </c>
    </row>
    <row r="106" spans="2:16" ht="30" x14ac:dyDescent="0.25">
      <c r="B106" s="29">
        <v>52</v>
      </c>
      <c r="C106" s="34" t="s">
        <v>250</v>
      </c>
      <c r="D106" s="35" t="s">
        <v>251</v>
      </c>
      <c r="E106" s="35" t="s">
        <v>249</v>
      </c>
      <c r="F106" s="74">
        <v>0.4</v>
      </c>
      <c r="G106" s="75">
        <v>1</v>
      </c>
      <c r="H106" s="76">
        <f>F106 * G106 * 1140.206</f>
        <v>456.08240000000001</v>
      </c>
      <c r="I106" s="76">
        <f>F106 * G106 * 367.259668</f>
        <v>146.90386720000001</v>
      </c>
      <c r="J106" s="76">
        <f t="shared" si="15"/>
        <v>0</v>
      </c>
      <c r="K106" s="76">
        <f>F106 * G106 * 1085.476112</f>
        <v>434.19044480000002</v>
      </c>
      <c r="L106" s="76">
        <f>F106 * G106 * 272.258886999999</f>
        <v>108.9035547999996</v>
      </c>
      <c r="M106" s="76">
        <f>F106 * G106 * 228.0412</f>
        <v>91.216480000000004</v>
      </c>
      <c r="N106" s="77">
        <f t="shared" si="16"/>
        <v>1237.2967467999997</v>
      </c>
      <c r="O106" s="10">
        <f t="shared" si="17"/>
        <v>1515.2121555824817</v>
      </c>
      <c r="P106" s="78">
        <f t="shared" si="18"/>
        <v>8.7430881894386848E-3</v>
      </c>
    </row>
    <row r="107" spans="2:16" x14ac:dyDescent="0.25">
      <c r="B107" s="29">
        <v>53</v>
      </c>
      <c r="C107" s="34" t="s">
        <v>252</v>
      </c>
      <c r="D107" s="35" t="s">
        <v>253</v>
      </c>
      <c r="E107" s="35" t="s">
        <v>254</v>
      </c>
      <c r="F107" s="74">
        <v>3</v>
      </c>
      <c r="G107" s="75">
        <v>1</v>
      </c>
      <c r="H107" s="76">
        <f>F107 * G107 * 12.14643</f>
        <v>36.43929</v>
      </c>
      <c r="I107" s="76">
        <f>F107 * G107 * 1.50115</f>
        <v>4.50345</v>
      </c>
      <c r="J107" s="76">
        <f t="shared" si="15"/>
        <v>0</v>
      </c>
      <c r="K107" s="76">
        <f>F107 * G107 * 11.563402</f>
        <v>34.690206000000003</v>
      </c>
      <c r="L107" s="76">
        <f>F107 * G107 * 2.647153</f>
        <v>7.941459</v>
      </c>
      <c r="M107" s="76">
        <f>F107 * G107 * 2.429286</f>
        <v>7.2878579999999999</v>
      </c>
      <c r="N107" s="77">
        <f t="shared" si="16"/>
        <v>90.862262999999999</v>
      </c>
      <c r="O107" s="10">
        <f t="shared" si="17"/>
        <v>111.27129020374502</v>
      </c>
      <c r="P107" s="78">
        <f t="shared" si="18"/>
        <v>6.4205840721359589E-4</v>
      </c>
    </row>
    <row r="108" spans="2:16" x14ac:dyDescent="0.25">
      <c r="B108" s="29">
        <v>54</v>
      </c>
      <c r="C108" s="34" t="s">
        <v>255</v>
      </c>
      <c r="D108" s="35" t="s">
        <v>256</v>
      </c>
      <c r="E108" s="35" t="s">
        <v>257</v>
      </c>
      <c r="F108" s="74">
        <v>4</v>
      </c>
      <c r="G108" s="75">
        <v>1</v>
      </c>
      <c r="H108" s="76">
        <f>F108 * G108 * 30.366075</f>
        <v>121.46429999999999</v>
      </c>
      <c r="I108" s="76">
        <f>F108 * G108 * 155.096104</f>
        <v>620.38441599999999</v>
      </c>
      <c r="J108" s="76">
        <f t="shared" si="15"/>
        <v>0</v>
      </c>
      <c r="K108" s="76">
        <f>F108 * G108 * 28.908504</f>
        <v>115.634016</v>
      </c>
      <c r="L108" s="76">
        <f>F108 * G108 * 22.508921</f>
        <v>90.035684000000003</v>
      </c>
      <c r="M108" s="76">
        <f>F108 * G108 * 6.073215</f>
        <v>24.292860000000001</v>
      </c>
      <c r="N108" s="77">
        <f t="shared" si="16"/>
        <v>971.81127599999991</v>
      </c>
      <c r="O108" s="10">
        <f t="shared" si="17"/>
        <v>1190.0946657587401</v>
      </c>
      <c r="P108" s="78">
        <f t="shared" si="18"/>
        <v>6.8670928874044459E-3</v>
      </c>
    </row>
    <row r="109" spans="2:16" x14ac:dyDescent="0.25">
      <c r="B109" s="29">
        <v>55</v>
      </c>
      <c r="C109" s="34" t="s">
        <v>258</v>
      </c>
      <c r="D109" s="35" t="s">
        <v>259</v>
      </c>
      <c r="E109" s="35" t="s">
        <v>260</v>
      </c>
      <c r="F109" s="74">
        <v>0.04</v>
      </c>
      <c r="G109" s="75">
        <v>1</v>
      </c>
      <c r="H109" s="76">
        <f>F109 * G109 * 11587.69422</f>
        <v>463.50776880000001</v>
      </c>
      <c r="I109" s="76">
        <f>F109 * G109 * 14545.312165</f>
        <v>581.81248659999994</v>
      </c>
      <c r="J109" s="76">
        <f t="shared" si="15"/>
        <v>0</v>
      </c>
      <c r="K109" s="76">
        <f>F109 * G109 * 11031.484897</f>
        <v>441.25939588</v>
      </c>
      <c r="L109" s="76">
        <f>F109 * G109 * 3902.271584</f>
        <v>156.09086336000001</v>
      </c>
      <c r="M109" s="76">
        <f>F109 * G109 * 2317.538844</f>
        <v>92.70155376000001</v>
      </c>
      <c r="N109" s="77">
        <f t="shared" si="16"/>
        <v>1735.3720684</v>
      </c>
      <c r="O109" s="10">
        <f t="shared" si="17"/>
        <v>2125.1626655436662</v>
      </c>
      <c r="P109" s="78">
        <f t="shared" si="18"/>
        <v>1.2262629053822567E-2</v>
      </c>
    </row>
    <row r="110" spans="2:16" x14ac:dyDescent="0.25">
      <c r="B110" s="29">
        <v>56</v>
      </c>
      <c r="C110" s="34" t="s">
        <v>261</v>
      </c>
      <c r="D110" s="35" t="s">
        <v>262</v>
      </c>
      <c r="E110" s="35" t="s">
        <v>263</v>
      </c>
      <c r="F110" s="74">
        <v>0.04</v>
      </c>
      <c r="G110" s="75">
        <v>1</v>
      </c>
      <c r="H110" s="76">
        <f>F110 * G110 * 21620.6454</f>
        <v>864.82581600000003</v>
      </c>
      <c r="I110" s="76">
        <f>F110 * G110 * 64191.056331</f>
        <v>2567.6422532400002</v>
      </c>
      <c r="J110" s="76">
        <f t="shared" si="15"/>
        <v>0</v>
      </c>
      <c r="K110" s="76">
        <f>F110 * G110 * 20582.854421</f>
        <v>823.31417684000007</v>
      </c>
      <c r="L110" s="76">
        <f>F110 * G110 * 11171.428396</f>
        <v>446.85713583999996</v>
      </c>
      <c r="M110" s="76">
        <f>F110 * G110 * 4324.12908</f>
        <v>172.96516319999998</v>
      </c>
      <c r="N110" s="77">
        <f t="shared" si="16"/>
        <v>4875.6045451199998</v>
      </c>
      <c r="O110" s="10">
        <f t="shared" si="17"/>
        <v>5970.7384600221294</v>
      </c>
      <c r="P110" s="78">
        <f t="shared" si="18"/>
        <v>3.4452398444479816E-2</v>
      </c>
    </row>
    <row r="111" spans="2:16" x14ac:dyDescent="0.25">
      <c r="B111" s="29">
        <v>57</v>
      </c>
      <c r="C111" s="34" t="s">
        <v>264</v>
      </c>
      <c r="D111" s="35" t="s">
        <v>265</v>
      </c>
      <c r="E111" s="35" t="s">
        <v>263</v>
      </c>
      <c r="F111" s="74">
        <v>0.04</v>
      </c>
      <c r="G111" s="75">
        <v>1</v>
      </c>
      <c r="H111" s="76">
        <f>F111 * G111 * 14818.6445999999</f>
        <v>592.74578399999598</v>
      </c>
      <c r="I111" s="76">
        <f>F111 * G111 * 67644.90536</f>
        <v>2705.7962144000003</v>
      </c>
      <c r="J111" s="76">
        <f t="shared" si="15"/>
        <v>0</v>
      </c>
      <c r="K111" s="76">
        <f>F111 * G111 * 14107.349659</f>
        <v>564.29398635999996</v>
      </c>
      <c r="L111" s="76">
        <f>F111 * G111 * 10139.94446</f>
        <v>405.59777840000004</v>
      </c>
      <c r="M111" s="76">
        <f>F111 * G111 * 2963.72892</f>
        <v>118.54915680000001</v>
      </c>
      <c r="N111" s="77">
        <f t="shared" si="16"/>
        <v>4386.9829199599963</v>
      </c>
      <c r="O111" s="10">
        <f t="shared" si="17"/>
        <v>5372.3650885268116</v>
      </c>
      <c r="P111" s="78">
        <f t="shared" si="18"/>
        <v>3.0999660068589369E-2</v>
      </c>
    </row>
    <row r="112" spans="2:16" s="81" customFormat="1" ht="14.25" x14ac:dyDescent="0.2">
      <c r="B112" s="79"/>
      <c r="C112" s="80" t="s">
        <v>266</v>
      </c>
      <c r="D112" s="103" t="s">
        <v>267</v>
      </c>
      <c r="E112" s="103"/>
      <c r="F112" s="103"/>
      <c r="G112" s="103"/>
      <c r="H112" s="103"/>
      <c r="I112" s="103"/>
      <c r="J112" s="103"/>
      <c r="K112" s="103"/>
      <c r="L112" s="103"/>
      <c r="M112" s="103"/>
      <c r="N112" s="103"/>
      <c r="O112" s="103"/>
      <c r="P112" s="103"/>
    </row>
    <row r="113" spans="2:16" ht="30" x14ac:dyDescent="0.25">
      <c r="B113" s="29">
        <v>58</v>
      </c>
      <c r="C113" s="34" t="s">
        <v>268</v>
      </c>
      <c r="D113" s="35" t="s">
        <v>269</v>
      </c>
      <c r="E113" s="35" t="s">
        <v>270</v>
      </c>
      <c r="F113" s="74">
        <v>0.9</v>
      </c>
      <c r="G113" s="75">
        <v>1</v>
      </c>
      <c r="H113" s="76">
        <f>F113 * G113 * 1680.25615</f>
        <v>1512.2305349999999</v>
      </c>
      <c r="I113" s="76">
        <f>F113 * G113 * 253.648478</f>
        <v>228.2836302</v>
      </c>
      <c r="J113" s="76">
        <f t="shared" ref="J113:J119" si="19">F113 * G113 * 0</f>
        <v>0</v>
      </c>
      <c r="K113" s="76">
        <f>F113 * G113 * 1599.603854</f>
        <v>1439.6434686</v>
      </c>
      <c r="L113" s="76">
        <f>F113 * G113 * 371.01839</f>
        <v>333.91655100000003</v>
      </c>
      <c r="M113" s="76">
        <f>F113 * G113 * 336.05123</f>
        <v>302.44610699999998</v>
      </c>
      <c r="N113" s="77">
        <f t="shared" ref="N113:N119" si="20">SUM(H113:M113)</f>
        <v>3816.5202917999995</v>
      </c>
      <c r="O113" s="10">
        <f t="shared" ref="O113:O119" si="21">N113*1.07*1.09*1.05</f>
        <v>4673.7679971426569</v>
      </c>
      <c r="P113" s="78">
        <f t="shared" ref="P113:P119" si="22">IF($P$9&gt;0,O113/$P$9/12,0)</f>
        <v>2.6968610055986341E-2</v>
      </c>
    </row>
    <row r="114" spans="2:16" ht="30" x14ac:dyDescent="0.25">
      <c r="B114" s="29">
        <v>59</v>
      </c>
      <c r="C114" s="34" t="s">
        <v>271</v>
      </c>
      <c r="D114" s="35" t="s">
        <v>272</v>
      </c>
      <c r="E114" s="35" t="s">
        <v>249</v>
      </c>
      <c r="F114" s="74">
        <v>0.9</v>
      </c>
      <c r="G114" s="75">
        <v>1</v>
      </c>
      <c r="H114" s="76">
        <f>F114 * G114 * 889.36068</f>
        <v>800.42461200000002</v>
      </c>
      <c r="I114" s="76">
        <f>F114 * G114 * 284.119261</f>
        <v>255.70733490000001</v>
      </c>
      <c r="J114" s="76">
        <f t="shared" si="19"/>
        <v>0</v>
      </c>
      <c r="K114" s="76">
        <f>F114 * G114 * 846.671366999999</f>
        <v>762.00423029999911</v>
      </c>
      <c r="L114" s="76">
        <f>F114 * G114 * 212.115887999999</f>
        <v>190.90429919999909</v>
      </c>
      <c r="M114" s="76">
        <f>F114 * G114 * 177.872136</f>
        <v>160.08492240000001</v>
      </c>
      <c r="N114" s="77">
        <f t="shared" si="20"/>
        <v>2169.125398799998</v>
      </c>
      <c r="O114" s="10">
        <f t="shared" si="21"/>
        <v>2656.3435002514598</v>
      </c>
      <c r="P114" s="78">
        <f t="shared" si="22"/>
        <v>1.5327652565731084E-2</v>
      </c>
    </row>
    <row r="115" spans="2:16" x14ac:dyDescent="0.25">
      <c r="B115" s="29">
        <v>60</v>
      </c>
      <c r="C115" s="34" t="s">
        <v>273</v>
      </c>
      <c r="D115" s="35" t="s">
        <v>274</v>
      </c>
      <c r="E115" s="35" t="s">
        <v>275</v>
      </c>
      <c r="F115" s="74">
        <v>0.2712</v>
      </c>
      <c r="G115" s="75">
        <v>1</v>
      </c>
      <c r="H115" s="76">
        <f>F115 * G115 * 658.78956</f>
        <v>178.66372867200002</v>
      </c>
      <c r="I115" s="76">
        <f>F115 * G115 * 3385.664386</f>
        <v>918.19218148319999</v>
      </c>
      <c r="J115" s="76">
        <f t="shared" si="19"/>
        <v>0</v>
      </c>
      <c r="K115" s="76">
        <f>F115 * G115 * 627.167661</f>
        <v>170.0878696632</v>
      </c>
      <c r="L115" s="76">
        <f>F115 * G115 * 490.520269</f>
        <v>133.02909695279999</v>
      </c>
      <c r="M115" s="76">
        <f>F115 * G115 * 131.757912</f>
        <v>35.732745734399998</v>
      </c>
      <c r="N115" s="77">
        <f t="shared" si="20"/>
        <v>1435.7056225056001</v>
      </c>
      <c r="O115" s="10">
        <f t="shared" si="21"/>
        <v>1758.1866409046959</v>
      </c>
      <c r="P115" s="78">
        <f t="shared" si="22"/>
        <v>1.014510133005987E-2</v>
      </c>
    </row>
    <row r="116" spans="2:16" x14ac:dyDescent="0.25">
      <c r="B116" s="29">
        <v>61</v>
      </c>
      <c r="C116" s="34" t="s">
        <v>276</v>
      </c>
      <c r="D116" s="35" t="s">
        <v>277</v>
      </c>
      <c r="E116" s="35" t="s">
        <v>278</v>
      </c>
      <c r="F116" s="74">
        <v>0.15</v>
      </c>
      <c r="G116" s="75">
        <v>0.5</v>
      </c>
      <c r="H116" s="76">
        <f>F116 * G116 * 3036.6075</f>
        <v>227.74556250000001</v>
      </c>
      <c r="I116" s="76">
        <f>F116 * G116 * 14994.544136</f>
        <v>1124.5908102000001</v>
      </c>
      <c r="J116" s="76">
        <f t="shared" si="19"/>
        <v>0</v>
      </c>
      <c r="K116" s="76">
        <f>F116 * G116 * 2890.85034</f>
        <v>216.81377549999999</v>
      </c>
      <c r="L116" s="76">
        <f>F116 * G116 * 2196.810208</f>
        <v>164.76076559999998</v>
      </c>
      <c r="M116" s="76">
        <f>F116 * G116 * 607.3215</f>
        <v>45.5491125</v>
      </c>
      <c r="N116" s="77">
        <f t="shared" si="20"/>
        <v>1779.4600263000002</v>
      </c>
      <c r="O116" s="10">
        <f t="shared" si="21"/>
        <v>2179.153440107375</v>
      </c>
      <c r="P116" s="78">
        <f t="shared" si="22"/>
        <v>1.2574167013498679E-2</v>
      </c>
    </row>
    <row r="117" spans="2:16" x14ac:dyDescent="0.25">
      <c r="B117" s="29">
        <v>62</v>
      </c>
      <c r="C117" s="34" t="s">
        <v>279</v>
      </c>
      <c r="D117" s="35" t="s">
        <v>280</v>
      </c>
      <c r="E117" s="35" t="s">
        <v>281</v>
      </c>
      <c r="F117" s="74">
        <v>0.15</v>
      </c>
      <c r="G117" s="75">
        <v>0.5</v>
      </c>
      <c r="H117" s="76">
        <f>F117 * G117 * 7846.59378</f>
        <v>588.49453349999999</v>
      </c>
      <c r="I117" s="76">
        <f>F117 * G117 * 6568.45736</f>
        <v>492.63430199999999</v>
      </c>
      <c r="J117" s="76">
        <f t="shared" si="19"/>
        <v>0</v>
      </c>
      <c r="K117" s="76">
        <f>F117 * G117 * 7469.957279</f>
        <v>560.24679592500001</v>
      </c>
      <c r="L117" s="76">
        <f>F117 * G117 * 2297.92588399999</f>
        <v>172.34444129999926</v>
      </c>
      <c r="M117" s="76">
        <f>F117 * G117 * 1569.318756</f>
        <v>117.69890669999998</v>
      </c>
      <c r="N117" s="77">
        <f t="shared" si="20"/>
        <v>1931.4189794249992</v>
      </c>
      <c r="O117" s="10">
        <f t="shared" si="21"/>
        <v>2365.2446534885457</v>
      </c>
      <c r="P117" s="78">
        <f t="shared" si="22"/>
        <v>1.364795188506062E-2</v>
      </c>
    </row>
    <row r="118" spans="2:16" x14ac:dyDescent="0.25">
      <c r="B118" s="29">
        <v>63</v>
      </c>
      <c r="C118" s="34" t="s">
        <v>282</v>
      </c>
      <c r="D118" s="35" t="s">
        <v>283</v>
      </c>
      <c r="E118" s="35" t="s">
        <v>162</v>
      </c>
      <c r="F118" s="74">
        <v>4.07E-2</v>
      </c>
      <c r="G118" s="75">
        <v>1</v>
      </c>
      <c r="H118" s="76">
        <f>F118 * G118 * 20346.39585</f>
        <v>828.09831109499999</v>
      </c>
      <c r="I118" s="76">
        <f>F118 * G118 * 4051.4143</f>
        <v>164.89256201000001</v>
      </c>
      <c r="J118" s="76">
        <f t="shared" si="19"/>
        <v>0</v>
      </c>
      <c r="K118" s="76">
        <f>F118 * G118 * 19369.76885</f>
        <v>788.34959219500001</v>
      </c>
      <c r="L118" s="76">
        <f>F118 * G118 * 4595.59579499999</f>
        <v>187.04074885649959</v>
      </c>
      <c r="M118" s="76">
        <f>F118 * G118 * 4069.27917</f>
        <v>165.61966221899999</v>
      </c>
      <c r="N118" s="77">
        <f t="shared" si="20"/>
        <v>2134.0008763754995</v>
      </c>
      <c r="O118" s="10">
        <f t="shared" si="21"/>
        <v>2613.3294832225829</v>
      </c>
      <c r="P118" s="78">
        <f t="shared" si="22"/>
        <v>1.507945277213788E-2</v>
      </c>
    </row>
    <row r="119" spans="2:16" ht="60" x14ac:dyDescent="0.25">
      <c r="B119" s="29">
        <v>64</v>
      </c>
      <c r="C119" s="34" t="s">
        <v>284</v>
      </c>
      <c r="D119" s="35" t="s">
        <v>285</v>
      </c>
      <c r="E119" s="35" t="s">
        <v>286</v>
      </c>
      <c r="F119" s="74">
        <v>0.1085</v>
      </c>
      <c r="G119" s="75">
        <v>1</v>
      </c>
      <c r="H119" s="76">
        <f>F119 * G119 * 9287.97014</f>
        <v>1007.74476019</v>
      </c>
      <c r="I119" s="76">
        <f>F119 * G119 * 37850.238465</f>
        <v>4106.7508734524999</v>
      </c>
      <c r="J119" s="76">
        <f t="shared" si="19"/>
        <v>0</v>
      </c>
      <c r="K119" s="76">
        <f>F119 * G119 * 8842.147573</f>
        <v>959.37301167049998</v>
      </c>
      <c r="L119" s="76">
        <f>F119 * G119 * 5877.937399</f>
        <v>637.75620779150006</v>
      </c>
      <c r="M119" s="76">
        <f>F119 * G119 * 1857.594028</f>
        <v>201.54895203800001</v>
      </c>
      <c r="N119" s="77">
        <f t="shared" si="20"/>
        <v>6913.1738051425</v>
      </c>
      <c r="O119" s="10">
        <f t="shared" si="21"/>
        <v>8465.9763393845842</v>
      </c>
      <c r="P119" s="78">
        <f t="shared" si="22"/>
        <v>4.8850438185988693E-2</v>
      </c>
    </row>
    <row r="120" spans="2:16" s="21" customFormat="1" ht="15" customHeight="1" x14ac:dyDescent="0.2">
      <c r="B120" s="19"/>
      <c r="C120" s="20" t="s">
        <v>287</v>
      </c>
      <c r="D120" s="102" t="s">
        <v>288</v>
      </c>
      <c r="E120" s="102"/>
      <c r="F120" s="102"/>
      <c r="G120" s="102"/>
      <c r="H120" s="102"/>
      <c r="I120" s="102"/>
      <c r="J120" s="102"/>
      <c r="K120" s="102"/>
      <c r="L120" s="102"/>
      <c r="M120" s="102"/>
      <c r="N120" s="102"/>
      <c r="O120" s="102"/>
      <c r="P120" s="102"/>
    </row>
    <row r="121" spans="2:16" s="81" customFormat="1" ht="14.25" x14ac:dyDescent="0.2">
      <c r="B121" s="79"/>
      <c r="C121" s="80" t="s">
        <v>289</v>
      </c>
      <c r="D121" s="103" t="s">
        <v>290</v>
      </c>
      <c r="E121" s="103"/>
      <c r="F121" s="103"/>
      <c r="G121" s="103"/>
      <c r="H121" s="103"/>
      <c r="I121" s="103"/>
      <c r="J121" s="103"/>
      <c r="K121" s="103"/>
      <c r="L121" s="103"/>
      <c r="M121" s="103"/>
      <c r="N121" s="103"/>
      <c r="O121" s="103"/>
      <c r="P121" s="103"/>
    </row>
    <row r="122" spans="2:16" ht="45" x14ac:dyDescent="0.25">
      <c r="B122" s="29">
        <v>65</v>
      </c>
      <c r="C122" s="34" t="s">
        <v>291</v>
      </c>
      <c r="D122" s="35" t="s">
        <v>292</v>
      </c>
      <c r="E122" s="35" t="s">
        <v>293</v>
      </c>
      <c r="F122" s="74">
        <v>4.07E-2</v>
      </c>
      <c r="G122" s="75">
        <v>1</v>
      </c>
      <c r="H122" s="76">
        <f>F122 * G122 * 41103.83</f>
        <v>1672.9258810000001</v>
      </c>
      <c r="I122" s="76">
        <f>F122 * G122 * 20460.176586</f>
        <v>832.72918705020004</v>
      </c>
      <c r="J122" s="76">
        <f>F122 * G122 * 0</f>
        <v>0</v>
      </c>
      <c r="K122" s="76">
        <f>F122 * G122 * 39130.84616</f>
        <v>1592.625438712</v>
      </c>
      <c r="L122" s="76">
        <f>F122 * G122 * 10572.959539</f>
        <v>430.31945323729997</v>
      </c>
      <c r="M122" s="76">
        <f>F122 * G122 * 8220.766</f>
        <v>334.58517619999998</v>
      </c>
      <c r="N122" s="77">
        <f>SUM(H122:M122)</f>
        <v>4863.1851361995004</v>
      </c>
      <c r="O122" s="10">
        <f>N122*1.07*1.09*1.05</f>
        <v>5955.5294655669522</v>
      </c>
      <c r="P122" s="78">
        <f>IF($P$9&gt;0,O122/$P$9/12,0)</f>
        <v>3.4364639394168353E-2</v>
      </c>
    </row>
    <row r="123" spans="2:16" s="81" customFormat="1" ht="14.25" x14ac:dyDescent="0.2">
      <c r="B123" s="79"/>
      <c r="C123" s="80" t="s">
        <v>294</v>
      </c>
      <c r="D123" s="103" t="s">
        <v>295</v>
      </c>
      <c r="E123" s="103"/>
      <c r="F123" s="103"/>
      <c r="G123" s="103"/>
      <c r="H123" s="103"/>
      <c r="I123" s="103"/>
      <c r="J123" s="103"/>
      <c r="K123" s="103"/>
      <c r="L123" s="103"/>
      <c r="M123" s="103"/>
      <c r="N123" s="103"/>
      <c r="O123" s="103"/>
      <c r="P123" s="103"/>
    </row>
    <row r="124" spans="2:16" x14ac:dyDescent="0.25">
      <c r="B124" s="29">
        <v>66</v>
      </c>
      <c r="C124" s="34" t="s">
        <v>296</v>
      </c>
      <c r="D124" s="35" t="s">
        <v>297</v>
      </c>
      <c r="E124" s="35" t="s">
        <v>298</v>
      </c>
      <c r="F124" s="74">
        <v>8.14E-2</v>
      </c>
      <c r="G124" s="75">
        <v>1</v>
      </c>
      <c r="H124" s="76">
        <f>F124 * G124 * 12146.43</f>
        <v>988.71940200000006</v>
      </c>
      <c r="I124" s="76">
        <f>F124 * G124 * 13219.555501</f>
        <v>1076.0718177814001</v>
      </c>
      <c r="J124" s="76">
        <f>F124 * G124 * 0</f>
        <v>0</v>
      </c>
      <c r="K124" s="76">
        <f>F124 * G124 * 11563.40136</f>
        <v>941.26087070400001</v>
      </c>
      <c r="L124" s="76">
        <f>F124 * G124 * 3877.58562</f>
        <v>315.635469468</v>
      </c>
      <c r="M124" s="76">
        <f>F124 * G124 * 2429.286</f>
        <v>197.74388039999999</v>
      </c>
      <c r="N124" s="77">
        <f>SUM(H124:M124)</f>
        <v>3519.4314403533999</v>
      </c>
      <c r="O124" s="10">
        <f>N124*1.07*1.09*1.05</f>
        <v>4309.9485333283792</v>
      </c>
      <c r="P124" s="78">
        <f>IF($P$9&gt;0,O124/$P$9/12,0)</f>
        <v>2.4869296342429365E-2</v>
      </c>
    </row>
    <row r="125" spans="2:16" s="81" customFormat="1" ht="14.25" x14ac:dyDescent="0.2">
      <c r="B125" s="79"/>
      <c r="C125" s="80" t="s">
        <v>299</v>
      </c>
      <c r="D125" s="103" t="s">
        <v>300</v>
      </c>
      <c r="E125" s="103"/>
      <c r="F125" s="103"/>
      <c r="G125" s="103"/>
      <c r="H125" s="103"/>
      <c r="I125" s="103"/>
      <c r="J125" s="103"/>
      <c r="K125" s="103"/>
      <c r="L125" s="103"/>
      <c r="M125" s="103"/>
      <c r="N125" s="103"/>
      <c r="O125" s="103"/>
      <c r="P125" s="103"/>
    </row>
    <row r="126" spans="2:16" s="81" customFormat="1" ht="14.25" x14ac:dyDescent="0.2">
      <c r="B126" s="79"/>
      <c r="C126" s="80" t="s">
        <v>301</v>
      </c>
      <c r="D126" s="104" t="s">
        <v>302</v>
      </c>
      <c r="E126" s="104"/>
      <c r="F126" s="104"/>
      <c r="G126" s="104"/>
      <c r="H126" s="104"/>
      <c r="I126" s="104"/>
      <c r="J126" s="104"/>
      <c r="K126" s="104"/>
      <c r="L126" s="104"/>
      <c r="M126" s="104"/>
      <c r="N126" s="104"/>
      <c r="O126" s="104"/>
      <c r="P126" s="104"/>
    </row>
    <row r="127" spans="2:16" x14ac:dyDescent="0.25">
      <c r="B127" s="29">
        <v>67</v>
      </c>
      <c r="C127" s="34" t="s">
        <v>303</v>
      </c>
      <c r="D127" s="35" t="s">
        <v>304</v>
      </c>
      <c r="E127" s="35" t="s">
        <v>214</v>
      </c>
      <c r="F127" s="74">
        <v>8.14E-2</v>
      </c>
      <c r="G127" s="75">
        <v>1</v>
      </c>
      <c r="H127" s="76">
        <f>F127 * G127 * 10526.906</f>
        <v>856.89014840000004</v>
      </c>
      <c r="I127" s="76">
        <f>F127 * G127 * 13205.572305</f>
        <v>1074.933585627</v>
      </c>
      <c r="J127" s="76">
        <f>F127 * G127 * 0</f>
        <v>0</v>
      </c>
      <c r="K127" s="76">
        <f>F127 * G127 * 10021.614512</f>
        <v>815.75942127680003</v>
      </c>
      <c r="L127" s="76">
        <f>F127 * G127 * 3544.179746</f>
        <v>288.49623132439996</v>
      </c>
      <c r="M127" s="76">
        <f>F127 * G127 * 2105.3812</f>
        <v>171.37802968</v>
      </c>
      <c r="N127" s="77">
        <f>SUM(H127:M127)</f>
        <v>3207.4574163082002</v>
      </c>
      <c r="O127" s="10">
        <f>N127*1.07*1.09*1.05</f>
        <v>3927.9004638722677</v>
      </c>
      <c r="P127" s="78">
        <f t="shared" ref="P127:P128" si="23">IF($P$9&gt;0,O127/$P$9/12,0)</f>
        <v>2.2664799796151661E-2</v>
      </c>
    </row>
    <row r="128" spans="2:16" x14ac:dyDescent="0.25">
      <c r="B128" s="29">
        <v>68</v>
      </c>
      <c r="C128" s="34" t="s">
        <v>305</v>
      </c>
      <c r="D128" s="35" t="s">
        <v>306</v>
      </c>
      <c r="E128" s="35" t="s">
        <v>214</v>
      </c>
      <c r="F128" s="74">
        <v>8.14E-2</v>
      </c>
      <c r="G128" s="75">
        <v>1</v>
      </c>
      <c r="H128" s="76">
        <f>F128 * G128 * 13895.063</f>
        <v>1131.0581282000001</v>
      </c>
      <c r="I128" s="76">
        <f>F128 * G128 * 12624.216449</f>
        <v>1027.6112189486</v>
      </c>
      <c r="J128" s="76">
        <f>F128 * G128 * 0</f>
        <v>0</v>
      </c>
      <c r="K128" s="76">
        <f>F128 * G128 * 13228.099976</f>
        <v>1076.7673380464</v>
      </c>
      <c r="L128" s="76">
        <f>F128 * G128 * 4173.47484</f>
        <v>339.72085197600001</v>
      </c>
      <c r="M128" s="76">
        <f>F128 * G128 * 2779.0126</f>
        <v>226.21162563999999</v>
      </c>
      <c r="N128" s="77">
        <f>SUM(H128:M128)</f>
        <v>3801.369162811</v>
      </c>
      <c r="O128" s="10">
        <f>N128*1.07*1.09*1.05</f>
        <v>4655.2136973157931</v>
      </c>
      <c r="P128" s="78">
        <f t="shared" si="23"/>
        <v>2.6861547900312702E-2</v>
      </c>
    </row>
    <row r="129" spans="2:16" s="81" customFormat="1" ht="14.25" x14ac:dyDescent="0.2">
      <c r="B129" s="79"/>
      <c r="C129" s="80" t="s">
        <v>307</v>
      </c>
      <c r="D129" s="103" t="s">
        <v>308</v>
      </c>
      <c r="E129" s="103"/>
      <c r="F129" s="103"/>
      <c r="G129" s="103"/>
      <c r="H129" s="103"/>
      <c r="I129" s="103"/>
      <c r="J129" s="103"/>
      <c r="K129" s="103"/>
      <c r="L129" s="103"/>
      <c r="M129" s="103"/>
      <c r="N129" s="103"/>
      <c r="O129" s="103"/>
      <c r="P129" s="103"/>
    </row>
    <row r="130" spans="2:16" ht="45" x14ac:dyDescent="0.25">
      <c r="B130" s="29">
        <v>69</v>
      </c>
      <c r="C130" s="34" t="s">
        <v>309</v>
      </c>
      <c r="D130" s="35" t="s">
        <v>310</v>
      </c>
      <c r="E130" s="35" t="s">
        <v>311</v>
      </c>
      <c r="F130" s="74">
        <v>8.14E-2</v>
      </c>
      <c r="G130" s="75">
        <v>1</v>
      </c>
      <c r="H130" s="76">
        <f>F130 * G130 * 16773.313923</f>
        <v>1365.3477533322002</v>
      </c>
      <c r="I130" s="76">
        <f>F130 * G130 * 1930.152429</f>
        <v>157.11440772059998</v>
      </c>
      <c r="J130" s="76">
        <f>F130 * G130 * 0</f>
        <v>0</v>
      </c>
      <c r="K130" s="76">
        <f>F130 * G130 * 15968.1948549999</f>
        <v>1299.8110611969919</v>
      </c>
      <c r="L130" s="76">
        <f>F130 * G130 * 3640.524427</f>
        <v>296.33868835779998</v>
      </c>
      <c r="M130" s="76">
        <f>F130 * G130 * 3354.662785</f>
        <v>273.06955069899999</v>
      </c>
      <c r="N130" s="77">
        <f>SUM(H130:M130)</f>
        <v>3391.6814613065922</v>
      </c>
      <c r="O130" s="10">
        <f>N130*1.07*1.09*1.05</f>
        <v>4153.5039927379739</v>
      </c>
      <c r="P130" s="78">
        <f>IF($P$9&gt;0,O130/$P$9/12,0)</f>
        <v>2.3966578917612832E-2</v>
      </c>
    </row>
    <row r="131" spans="2:16" s="81" customFormat="1" ht="14.25" x14ac:dyDescent="0.2">
      <c r="B131" s="79"/>
      <c r="C131" s="80" t="s">
        <v>312</v>
      </c>
      <c r="D131" s="103" t="s">
        <v>313</v>
      </c>
      <c r="E131" s="103"/>
      <c r="F131" s="103"/>
      <c r="G131" s="103"/>
      <c r="H131" s="103"/>
      <c r="I131" s="103"/>
      <c r="J131" s="103"/>
      <c r="K131" s="103"/>
      <c r="L131" s="103"/>
      <c r="M131" s="103"/>
      <c r="N131" s="103"/>
      <c r="O131" s="103"/>
      <c r="P131" s="103"/>
    </row>
    <row r="132" spans="2:16" x14ac:dyDescent="0.25">
      <c r="B132" s="29">
        <v>70</v>
      </c>
      <c r="C132" s="34" t="s">
        <v>314</v>
      </c>
      <c r="D132" s="35" t="s">
        <v>315</v>
      </c>
      <c r="E132" s="35" t="s">
        <v>316</v>
      </c>
      <c r="F132" s="74">
        <v>0.22</v>
      </c>
      <c r="G132" s="75">
        <v>1</v>
      </c>
      <c r="H132" s="76">
        <f>F132 * G132 * 9248.36175</f>
        <v>2034.6395850000001</v>
      </c>
      <c r="I132" s="76">
        <f>F132 * G132 * 1461.792087</f>
        <v>321.59425914000002</v>
      </c>
      <c r="J132" s="76">
        <f>F132 * G132 * 0</f>
        <v>0</v>
      </c>
      <c r="K132" s="76">
        <f>F132 * G132 * 8804.440386</f>
        <v>1936.97688492</v>
      </c>
      <c r="L132" s="76">
        <f>F132 * G132 * 2049.032393</f>
        <v>450.78712645999997</v>
      </c>
      <c r="M132" s="76">
        <f>F132 * G132 * 1849.67235</f>
        <v>406.92791700000004</v>
      </c>
      <c r="N132" s="77">
        <f>SUM(H132:M132)</f>
        <v>5150.9257725199996</v>
      </c>
      <c r="O132" s="10">
        <f>N132*1.07*1.09*1.05</f>
        <v>6307.9009649145801</v>
      </c>
      <c r="P132" s="78">
        <f>IF($P$9&gt;0,O132/$P$9/12,0)</f>
        <v>3.6397895979980728E-2</v>
      </c>
    </row>
    <row r="133" spans="2:16" s="81" customFormat="1" ht="14.25" x14ac:dyDescent="0.2">
      <c r="B133" s="79"/>
      <c r="C133" s="80" t="s">
        <v>317</v>
      </c>
      <c r="D133" s="103" t="s">
        <v>318</v>
      </c>
      <c r="E133" s="103"/>
      <c r="F133" s="103"/>
      <c r="G133" s="103"/>
      <c r="H133" s="103"/>
      <c r="I133" s="103"/>
      <c r="J133" s="103"/>
      <c r="K133" s="103"/>
      <c r="L133" s="103"/>
      <c r="M133" s="103"/>
      <c r="N133" s="103"/>
      <c r="O133" s="103"/>
      <c r="P133" s="103"/>
    </row>
    <row r="134" spans="2:16" ht="30" x14ac:dyDescent="0.25">
      <c r="B134" s="29">
        <v>71</v>
      </c>
      <c r="C134" s="34" t="s">
        <v>319</v>
      </c>
      <c r="D134" s="35" t="s">
        <v>320</v>
      </c>
      <c r="E134" s="35" t="s">
        <v>107</v>
      </c>
      <c r="F134" s="74">
        <v>0.2712</v>
      </c>
      <c r="G134" s="75">
        <v>1</v>
      </c>
      <c r="H134" s="76">
        <f>F134 * G134 * 7809.7277</f>
        <v>2117.9981522399999</v>
      </c>
      <c r="I134" s="76">
        <f>F134 * G134 * 2462.44734</f>
        <v>667.815718608</v>
      </c>
      <c r="J134" s="76">
        <f>F134 * G134 * 0</f>
        <v>0</v>
      </c>
      <c r="K134" s="76">
        <f>F134 * G134 * 7434.86077</f>
        <v>2016.3342408240001</v>
      </c>
      <c r="L134" s="76">
        <f>F134 * G134 * 1859.23876</f>
        <v>504.22555171199997</v>
      </c>
      <c r="M134" s="76">
        <f>F134 * G134 * 1561.94554</f>
        <v>423.59963044799997</v>
      </c>
      <c r="N134" s="77">
        <f>SUM(H134:M134)</f>
        <v>5729.9732938320012</v>
      </c>
      <c r="O134" s="10">
        <f>N134*1.07*1.09*1.05</f>
        <v>7017.0112452260773</v>
      </c>
      <c r="P134" s="78">
        <f t="shared" ref="P134:P136" si="24">IF($P$9&gt;0,O134/$P$9/12,0)</f>
        <v>4.0489609271719511E-2</v>
      </c>
    </row>
    <row r="135" spans="2:16" ht="30" x14ac:dyDescent="0.25">
      <c r="B135" s="29">
        <v>72</v>
      </c>
      <c r="C135" s="34" t="s">
        <v>321</v>
      </c>
      <c r="D135" s="35" t="s">
        <v>322</v>
      </c>
      <c r="E135" s="35" t="s">
        <v>323</v>
      </c>
      <c r="F135" s="74">
        <v>4.07E-2</v>
      </c>
      <c r="G135" s="75">
        <v>1</v>
      </c>
      <c r="H135" s="76">
        <f>F135 * G135 * 2548.43746</f>
        <v>103.72140462200001</v>
      </c>
      <c r="I135" s="76">
        <f>F135 * G135 * 566.597779</f>
        <v>23.060529605299998</v>
      </c>
      <c r="J135" s="76">
        <f>F135 * G135 * 0</f>
        <v>0</v>
      </c>
      <c r="K135" s="76">
        <f>F135 * G135 * 2426.112462</f>
        <v>98.742777203399996</v>
      </c>
      <c r="L135" s="76">
        <f>F135 * G135 * 581.820509</f>
        <v>23.680094716300001</v>
      </c>
      <c r="M135" s="76">
        <f>F135 * G135 * 509.687492</f>
        <v>20.744280924400002</v>
      </c>
      <c r="N135" s="77">
        <f>SUM(H135:M135)</f>
        <v>269.94908707140002</v>
      </c>
      <c r="O135" s="10">
        <f>N135*1.07*1.09*1.05</f>
        <v>330.5837012639426</v>
      </c>
      <c r="P135" s="78">
        <f t="shared" si="24"/>
        <v>1.9075364750031311E-3</v>
      </c>
    </row>
    <row r="136" spans="2:16" ht="30" x14ac:dyDescent="0.25">
      <c r="B136" s="29">
        <v>73</v>
      </c>
      <c r="C136" s="34" t="s">
        <v>324</v>
      </c>
      <c r="D136" s="35" t="s">
        <v>325</v>
      </c>
      <c r="E136" s="35" t="s">
        <v>326</v>
      </c>
      <c r="F136" s="74">
        <v>4.07E-2</v>
      </c>
      <c r="G136" s="75">
        <v>1</v>
      </c>
      <c r="H136" s="76">
        <f>F136 * G136 * 29645.356</f>
        <v>1206.5659892000001</v>
      </c>
      <c r="I136" s="76">
        <f>F136 * G136 * 356587.319217</f>
        <v>14513.1038921319</v>
      </c>
      <c r="J136" s="76">
        <f>F136 * G136 * 0</f>
        <v>0</v>
      </c>
      <c r="K136" s="76">
        <f>F136 * G136 * 28222.378912</f>
        <v>1148.6508217184</v>
      </c>
      <c r="L136" s="76">
        <f>F136 * G136 * 43517.780684</f>
        <v>1771.1736738387999</v>
      </c>
      <c r="M136" s="76">
        <f>F136 * G136 * 5929.0712</f>
        <v>241.31319784000002</v>
      </c>
      <c r="N136" s="77">
        <f>SUM(H136:M136)</f>
        <v>18880.8075747291</v>
      </c>
      <c r="O136" s="10">
        <f>N136*1.07*1.09*1.05</f>
        <v>23121.720168126878</v>
      </c>
      <c r="P136" s="78">
        <f t="shared" si="24"/>
        <v>0.13341711771296033</v>
      </c>
    </row>
    <row r="137" spans="2:16" s="21" customFormat="1" ht="15" customHeight="1" x14ac:dyDescent="0.2">
      <c r="B137" s="19"/>
      <c r="C137" s="20" t="s">
        <v>327</v>
      </c>
      <c r="D137" s="102" t="s">
        <v>328</v>
      </c>
      <c r="E137" s="102"/>
      <c r="F137" s="102"/>
      <c r="G137" s="102"/>
      <c r="H137" s="102"/>
      <c r="I137" s="102"/>
      <c r="J137" s="102"/>
      <c r="K137" s="102"/>
      <c r="L137" s="102"/>
      <c r="M137" s="102"/>
      <c r="N137" s="102"/>
      <c r="O137" s="102"/>
      <c r="P137" s="102"/>
    </row>
    <row r="138" spans="2:16" s="81" customFormat="1" ht="14.25" x14ac:dyDescent="0.2">
      <c r="B138" s="79"/>
      <c r="C138" s="80" t="s">
        <v>329</v>
      </c>
      <c r="D138" s="103" t="s">
        <v>330</v>
      </c>
      <c r="E138" s="103"/>
      <c r="F138" s="103"/>
      <c r="G138" s="103"/>
      <c r="H138" s="103"/>
      <c r="I138" s="103"/>
      <c r="J138" s="103"/>
      <c r="K138" s="103"/>
      <c r="L138" s="103"/>
      <c r="M138" s="103"/>
      <c r="N138" s="103"/>
      <c r="O138" s="103"/>
      <c r="P138" s="103"/>
    </row>
    <row r="139" spans="2:16" x14ac:dyDescent="0.25">
      <c r="B139" s="29">
        <v>74</v>
      </c>
      <c r="C139" s="34" t="s">
        <v>331</v>
      </c>
      <c r="D139" s="35" t="s">
        <v>332</v>
      </c>
      <c r="E139" s="35" t="s">
        <v>333</v>
      </c>
      <c r="F139" s="74">
        <v>0.1492</v>
      </c>
      <c r="G139" s="75">
        <v>2</v>
      </c>
      <c r="H139" s="76">
        <f>F139 * G139 * 4432.5324</f>
        <v>1322.6676681599999</v>
      </c>
      <c r="I139" s="76">
        <f>F139 * G139 * 17083.895458</f>
        <v>5097.8344046672</v>
      </c>
      <c r="J139" s="76">
        <f>F139 * G139 * 0</f>
        <v>0</v>
      </c>
      <c r="K139" s="76">
        <f>F139 * G139 * 4219.770845</f>
        <v>1259.1796201479999</v>
      </c>
      <c r="L139" s="76">
        <f>F139 * G139 * 2702.300864</f>
        <v>806.36657781759993</v>
      </c>
      <c r="M139" s="76">
        <f>F139 * G139 * 886.50648</f>
        <v>264.533533632</v>
      </c>
      <c r="N139" s="77">
        <f>SUM(H139:M139)</f>
        <v>8750.5818044248008</v>
      </c>
      <c r="O139" s="10">
        <f>N139*1.07*1.09*1.05</f>
        <v>10716.093736425681</v>
      </c>
      <c r="P139" s="78">
        <f>IF($P$9&gt;0,O139/$P$9/12,0)</f>
        <v>6.1834081939399439E-2</v>
      </c>
    </row>
    <row r="140" spans="2:16" s="81" customFormat="1" ht="14.25" x14ac:dyDescent="0.2">
      <c r="B140" s="79"/>
      <c r="C140" s="80" t="s">
        <v>334</v>
      </c>
      <c r="D140" s="103" t="s">
        <v>335</v>
      </c>
      <c r="E140" s="103"/>
      <c r="F140" s="103"/>
      <c r="G140" s="103"/>
      <c r="H140" s="103"/>
      <c r="I140" s="103"/>
      <c r="J140" s="103"/>
      <c r="K140" s="103"/>
      <c r="L140" s="103"/>
      <c r="M140" s="103"/>
      <c r="N140" s="103"/>
      <c r="O140" s="103"/>
      <c r="P140" s="103"/>
    </row>
    <row r="141" spans="2:16" ht="45" x14ac:dyDescent="0.25">
      <c r="B141" s="29">
        <v>75</v>
      </c>
      <c r="C141" s="34" t="s">
        <v>336</v>
      </c>
      <c r="D141" s="35" t="s">
        <v>337</v>
      </c>
      <c r="E141" s="35" t="s">
        <v>338</v>
      </c>
      <c r="F141" s="74">
        <v>2.7121</v>
      </c>
      <c r="G141" s="75">
        <v>2</v>
      </c>
      <c r="H141" s="76">
        <f>F141 * G141 * 308.278725</f>
        <v>1672.165460145</v>
      </c>
      <c r="I141" s="76">
        <f>F141 * G141 * 81.910391</f>
        <v>444.2983428622</v>
      </c>
      <c r="J141" s="76">
        <f>F141 * G141 * 0</f>
        <v>0</v>
      </c>
      <c r="K141" s="76">
        <f>F141 * G141 * 293.481346</f>
        <v>1591.9015169731999</v>
      </c>
      <c r="L141" s="76">
        <f>F141 * G141 * 71.785398</f>
        <v>389.3783558316</v>
      </c>
      <c r="M141" s="76">
        <f>F141 * G141 * 61.655745</f>
        <v>334.43309202900002</v>
      </c>
      <c r="N141" s="77">
        <f>SUM(H141:M141)</f>
        <v>4432.1767678410006</v>
      </c>
      <c r="O141" s="10">
        <f>N141*1.07*1.09*1.05</f>
        <v>5427.7101525496073</v>
      </c>
      <c r="P141" s="78">
        <f t="shared" ref="P141:P143" si="25">IF($P$9&gt;0,O141/$P$9/12,0)</f>
        <v>3.1319012559142358E-2</v>
      </c>
    </row>
    <row r="142" spans="2:16" ht="45" x14ac:dyDescent="0.25">
      <c r="B142" s="29">
        <v>76</v>
      </c>
      <c r="C142" s="34" t="s">
        <v>339</v>
      </c>
      <c r="D142" s="35" t="s">
        <v>340</v>
      </c>
      <c r="E142" s="35" t="s">
        <v>338</v>
      </c>
      <c r="F142" s="74">
        <v>2.7121</v>
      </c>
      <c r="G142" s="75">
        <v>2</v>
      </c>
      <c r="H142" s="76">
        <f>F142 * G142 * 55.888452</f>
        <v>303.15014133839998</v>
      </c>
      <c r="I142" s="76">
        <f>F142 * G142 * 1.912696</f>
        <v>10.374845643199999</v>
      </c>
      <c r="J142" s="76">
        <f>F142 * G142 * 0</f>
        <v>0</v>
      </c>
      <c r="K142" s="76">
        <f>F142 * G142 * 53.205807</f>
        <v>288.59893832939997</v>
      </c>
      <c r="L142" s="76">
        <f>F142 * G142 * 11.65573</f>
        <v>63.223010666</v>
      </c>
      <c r="M142" s="76">
        <f>F142 * G142 * 11.17769</f>
        <v>60.630026098000002</v>
      </c>
      <c r="N142" s="77">
        <f>SUM(H142:M142)</f>
        <v>725.97696207500007</v>
      </c>
      <c r="O142" s="10">
        <f>N142*1.07*1.09*1.05</f>
        <v>889.04227741147633</v>
      </c>
      <c r="P142" s="78">
        <f t="shared" si="25"/>
        <v>5.1299582087630776E-3</v>
      </c>
    </row>
    <row r="143" spans="2:16" ht="45" x14ac:dyDescent="0.25">
      <c r="B143" s="29">
        <v>77</v>
      </c>
      <c r="C143" s="34" t="s">
        <v>341</v>
      </c>
      <c r="D143" s="35" t="s">
        <v>342</v>
      </c>
      <c r="E143" s="35" t="s">
        <v>343</v>
      </c>
      <c r="F143" s="74">
        <v>8.14E-2</v>
      </c>
      <c r="G143" s="75">
        <v>2</v>
      </c>
      <c r="H143" s="76">
        <f>F143 * G143 * 7105.66155</f>
        <v>1156.80170034</v>
      </c>
      <c r="I143" s="76">
        <f>F143 * G143 * 4996.466322</f>
        <v>813.42471722160008</v>
      </c>
      <c r="J143" s="76">
        <f>F143 * G143 * 0</f>
        <v>0</v>
      </c>
      <c r="K143" s="76">
        <f>F143 * G143 * 6764.589795</f>
        <v>1101.275218626</v>
      </c>
      <c r="L143" s="76">
        <f>F143 * G143 * 1981.005355</f>
        <v>322.50767179399998</v>
      </c>
      <c r="M143" s="76">
        <f>F143 * G143 * 1421.13231</f>
        <v>231.360340068</v>
      </c>
      <c r="N143" s="77">
        <f>SUM(H143:M143)</f>
        <v>3625.3696480496001</v>
      </c>
      <c r="O143" s="10">
        <f>N143*1.07*1.09*1.05</f>
        <v>4439.6820515462614</v>
      </c>
      <c r="P143" s="78">
        <f t="shared" si="25"/>
        <v>2.5617885631873824E-2</v>
      </c>
    </row>
    <row r="144" spans="2:16" s="81" customFormat="1" ht="14.25" x14ac:dyDescent="0.2">
      <c r="B144" s="79"/>
      <c r="C144" s="80" t="s">
        <v>344</v>
      </c>
      <c r="D144" s="103" t="s">
        <v>345</v>
      </c>
      <c r="E144" s="103"/>
      <c r="F144" s="103"/>
      <c r="G144" s="103"/>
      <c r="H144" s="103"/>
      <c r="I144" s="103"/>
      <c r="J144" s="103"/>
      <c r="K144" s="103"/>
      <c r="L144" s="103"/>
      <c r="M144" s="103"/>
      <c r="N144" s="103"/>
      <c r="O144" s="103"/>
      <c r="P144" s="103"/>
    </row>
    <row r="145" spans="2:16" ht="30" x14ac:dyDescent="0.25">
      <c r="B145" s="29">
        <v>78</v>
      </c>
      <c r="C145" s="34" t="s">
        <v>346</v>
      </c>
      <c r="D145" s="35" t="s">
        <v>347</v>
      </c>
      <c r="E145" s="35" t="s">
        <v>348</v>
      </c>
      <c r="F145" s="74">
        <v>14.442</v>
      </c>
      <c r="G145" s="75">
        <v>2</v>
      </c>
      <c r="H145" s="76">
        <f>F145 * G145 * 78.951795</f>
        <v>2280.4436467800001</v>
      </c>
      <c r="I145" s="76">
        <f t="shared" ref="I145:I150" si="26">F145 * G145 * 0</f>
        <v>0</v>
      </c>
      <c r="J145" s="76">
        <f t="shared" ref="J145:J150" si="27">F145 * G145 * 0</f>
        <v>0</v>
      </c>
      <c r="K145" s="76">
        <f>F145 * G145 * 75.162109</f>
        <v>2170.9823563559999</v>
      </c>
      <c r="L145" s="76">
        <f>F145 * G145 * 16.18196</f>
        <v>467.39973264000002</v>
      </c>
      <c r="M145" s="76">
        <f>F145 * G145 * 15.790359</f>
        <v>456.08872935600004</v>
      </c>
      <c r="N145" s="77">
        <f t="shared" ref="N145:N150" si="28">SUM(H145:M145)</f>
        <v>5374.9144651320003</v>
      </c>
      <c r="O145" s="10">
        <f t="shared" ref="O145:O150" si="29">N145*1.07*1.09*1.05</f>
        <v>6582.2008777176252</v>
      </c>
      <c r="P145" s="78">
        <f t="shared" ref="P145:P150" si="30">IF($P$9&gt;0,O145/$P$9/12,0)</f>
        <v>3.7980663329857507E-2</v>
      </c>
    </row>
    <row r="146" spans="2:16" ht="30" x14ac:dyDescent="0.25">
      <c r="B146" s="29">
        <v>79</v>
      </c>
      <c r="C146" s="34" t="s">
        <v>349</v>
      </c>
      <c r="D146" s="35" t="s">
        <v>350</v>
      </c>
      <c r="E146" s="35" t="s">
        <v>348</v>
      </c>
      <c r="F146" s="74">
        <v>14.442</v>
      </c>
      <c r="G146" s="75">
        <v>2</v>
      </c>
      <c r="H146" s="76">
        <f>F146 * G146 * 629.589955</f>
        <v>18185.076260220001</v>
      </c>
      <c r="I146" s="76">
        <f t="shared" si="26"/>
        <v>0</v>
      </c>
      <c r="J146" s="76">
        <f t="shared" si="27"/>
        <v>0</v>
      </c>
      <c r="K146" s="76">
        <f>F146 * G146 * 599.369637</f>
        <v>17312.192595108001</v>
      </c>
      <c r="L146" s="76">
        <f>F146 * G146 * 129.040757</f>
        <v>3727.2132251880003</v>
      </c>
      <c r="M146" s="76">
        <f>F146 * G146 * 125.917991</f>
        <v>3637.0152520440001</v>
      </c>
      <c r="N146" s="77">
        <f t="shared" si="28"/>
        <v>42861.497332560008</v>
      </c>
      <c r="O146" s="10">
        <f t="shared" si="29"/>
        <v>52488.832555912981</v>
      </c>
      <c r="P146" s="78">
        <f t="shared" si="30"/>
        <v>0.30287144298985008</v>
      </c>
    </row>
    <row r="147" spans="2:16" x14ac:dyDescent="0.25">
      <c r="B147" s="29">
        <v>80</v>
      </c>
      <c r="C147" s="34" t="s">
        <v>351</v>
      </c>
      <c r="D147" s="35" t="s">
        <v>352</v>
      </c>
      <c r="E147" s="35" t="s">
        <v>353</v>
      </c>
      <c r="F147" s="74">
        <v>1.365</v>
      </c>
      <c r="G147" s="75">
        <v>2</v>
      </c>
      <c r="H147" s="76">
        <f>F147 * G147 * 312.416444</f>
        <v>852.89689212000008</v>
      </c>
      <c r="I147" s="76">
        <f t="shared" si="26"/>
        <v>0</v>
      </c>
      <c r="J147" s="76">
        <f t="shared" si="27"/>
        <v>0</v>
      </c>
      <c r="K147" s="76">
        <f>F147 * G147 * 297.420455</f>
        <v>811.95784215000003</v>
      </c>
      <c r="L147" s="76">
        <f>F147 * G147 * 64.032874</f>
        <v>174.80974602000001</v>
      </c>
      <c r="M147" s="76">
        <f>F147 * G147 * 62.483289</f>
        <v>170.57937896999999</v>
      </c>
      <c r="N147" s="77">
        <f t="shared" si="28"/>
        <v>2010.2438592600001</v>
      </c>
      <c r="O147" s="10">
        <f t="shared" si="29"/>
        <v>2461.7747837076854</v>
      </c>
      <c r="P147" s="78">
        <f t="shared" si="30"/>
        <v>1.4204950743824064E-2</v>
      </c>
    </row>
    <row r="148" spans="2:16" x14ac:dyDescent="0.25">
      <c r="B148" s="29">
        <v>81</v>
      </c>
      <c r="C148" s="34" t="s">
        <v>354</v>
      </c>
      <c r="D148" s="35" t="s">
        <v>355</v>
      </c>
      <c r="E148" s="35" t="s">
        <v>353</v>
      </c>
      <c r="F148" s="74">
        <v>1.365</v>
      </c>
      <c r="G148" s="75">
        <v>2</v>
      </c>
      <c r="H148" s="76">
        <f>F148 * G148 * 255.406144</f>
        <v>697.25877312</v>
      </c>
      <c r="I148" s="76">
        <f t="shared" si="26"/>
        <v>0</v>
      </c>
      <c r="J148" s="76">
        <f t="shared" si="27"/>
        <v>0</v>
      </c>
      <c r="K148" s="76">
        <f>F148 * G148 * 243.146649</f>
        <v>663.79035177000003</v>
      </c>
      <c r="L148" s="76">
        <f>F148 * G148 * 52.348043</f>
        <v>142.91015738999999</v>
      </c>
      <c r="M148" s="76">
        <f>F148 * G148 * 51.081229</f>
        <v>139.45175517000001</v>
      </c>
      <c r="N148" s="77">
        <f t="shared" si="28"/>
        <v>1643.4110374500001</v>
      </c>
      <c r="O148" s="10">
        <f t="shared" si="29"/>
        <v>2012.5458076268321</v>
      </c>
      <c r="P148" s="78">
        <f t="shared" si="30"/>
        <v>1.1612806442014218E-2</v>
      </c>
    </row>
    <row r="149" spans="2:16" ht="30" x14ac:dyDescent="0.25">
      <c r="B149" s="29">
        <v>82</v>
      </c>
      <c r="C149" s="34" t="s">
        <v>356</v>
      </c>
      <c r="D149" s="35" t="s">
        <v>357</v>
      </c>
      <c r="E149" s="35" t="s">
        <v>348</v>
      </c>
      <c r="F149" s="74">
        <v>14.442</v>
      </c>
      <c r="G149" s="75">
        <v>2</v>
      </c>
      <c r="H149" s="76">
        <f>F149 * G149 * 912.1648</f>
        <v>26346.968083200001</v>
      </c>
      <c r="I149" s="76">
        <f t="shared" si="26"/>
        <v>0</v>
      </c>
      <c r="J149" s="76">
        <f t="shared" si="27"/>
        <v>0</v>
      </c>
      <c r="K149" s="76">
        <f>F149 * G149 * 868.380889999999</f>
        <v>25082.313626759973</v>
      </c>
      <c r="L149" s="76">
        <f>F149 * G149 * 186.957296999999</f>
        <v>5400.0745665479708</v>
      </c>
      <c r="M149" s="76">
        <f>F149 * G149 * 182.43296</f>
        <v>5269.3936166399999</v>
      </c>
      <c r="N149" s="77">
        <f t="shared" si="28"/>
        <v>62098.749893147949</v>
      </c>
      <c r="O149" s="10">
        <f t="shared" si="29"/>
        <v>76047.060600397395</v>
      </c>
      <c r="P149" s="78">
        <f t="shared" si="30"/>
        <v>0.43880730162256726</v>
      </c>
    </row>
    <row r="150" spans="2:16" ht="30" x14ac:dyDescent="0.25">
      <c r="B150" s="29">
        <v>83</v>
      </c>
      <c r="C150" s="34" t="s">
        <v>358</v>
      </c>
      <c r="D150" s="35" t="s">
        <v>359</v>
      </c>
      <c r="E150" s="35" t="s">
        <v>348</v>
      </c>
      <c r="F150" s="74">
        <v>14.442</v>
      </c>
      <c r="G150" s="75">
        <v>2</v>
      </c>
      <c r="H150" s="76">
        <f>F150 * G150 * 684.1236</f>
        <v>19760.226062400001</v>
      </c>
      <c r="I150" s="76">
        <f t="shared" si="26"/>
        <v>0</v>
      </c>
      <c r="J150" s="76">
        <f t="shared" si="27"/>
        <v>0</v>
      </c>
      <c r="K150" s="76">
        <f>F150 * G150 * 651.285667</f>
        <v>18811.735205628</v>
      </c>
      <c r="L150" s="76">
        <f>F150 * G150 * 140.217973</f>
        <v>4050.0559321320002</v>
      </c>
      <c r="M150" s="76">
        <f>F150 * G150 * 136.82472</f>
        <v>3952.0452124800004</v>
      </c>
      <c r="N150" s="77">
        <f t="shared" si="28"/>
        <v>46574.06241264</v>
      </c>
      <c r="O150" s="10">
        <f t="shared" si="29"/>
        <v>57035.295441455142</v>
      </c>
      <c r="P150" s="78">
        <f t="shared" si="30"/>
        <v>0.32910547616590008</v>
      </c>
    </row>
    <row r="151" spans="2:16" s="81" customFormat="1" ht="14.25" x14ac:dyDescent="0.2">
      <c r="B151" s="79"/>
      <c r="C151" s="80" t="s">
        <v>360</v>
      </c>
      <c r="D151" s="103" t="s">
        <v>361</v>
      </c>
      <c r="E151" s="103"/>
      <c r="F151" s="103"/>
      <c r="G151" s="103"/>
      <c r="H151" s="103"/>
      <c r="I151" s="103"/>
      <c r="J151" s="103"/>
      <c r="K151" s="103"/>
      <c r="L151" s="103"/>
      <c r="M151" s="103"/>
      <c r="N151" s="103"/>
      <c r="O151" s="103"/>
      <c r="P151" s="103"/>
    </row>
    <row r="152" spans="2:16" ht="30" x14ac:dyDescent="0.25">
      <c r="B152" s="29">
        <v>84</v>
      </c>
      <c r="C152" s="34" t="s">
        <v>362</v>
      </c>
      <c r="D152" s="35" t="s">
        <v>363</v>
      </c>
      <c r="E152" s="35" t="s">
        <v>364</v>
      </c>
      <c r="F152" s="74">
        <v>1.365</v>
      </c>
      <c r="G152" s="75">
        <v>2</v>
      </c>
      <c r="H152" s="76">
        <f>F152 * G152 * 638.51536</f>
        <v>1743.1469328000001</v>
      </c>
      <c r="I152" s="76">
        <f>F152 * G152 * 0</f>
        <v>0</v>
      </c>
      <c r="J152" s="76">
        <f>F152 * G152 * 0</f>
        <v>0</v>
      </c>
      <c r="K152" s="76">
        <f>F152 * G152 * 607.866623</f>
        <v>1659.47588079</v>
      </c>
      <c r="L152" s="76">
        <f>F152 * G152 * 130.870108</f>
        <v>357.27539483999999</v>
      </c>
      <c r="M152" s="76">
        <f>F152 * G152 * 127.703072</f>
        <v>348.62938656</v>
      </c>
      <c r="N152" s="77">
        <f>SUM(H152:M152)</f>
        <v>4108.5275949899997</v>
      </c>
      <c r="O152" s="10">
        <f>N152*1.07*1.09*1.05</f>
        <v>5031.3645207386789</v>
      </c>
      <c r="P152" s="78">
        <f>IF($P$9&gt;0,O152/$P$9/12,0)</f>
        <v>2.9032016114681019E-2</v>
      </c>
    </row>
    <row r="153" spans="2:16" s="21" customFormat="1" ht="15" customHeight="1" x14ac:dyDescent="0.2">
      <c r="B153" s="19"/>
      <c r="C153" s="20" t="s">
        <v>365</v>
      </c>
      <c r="D153" s="102" t="s">
        <v>366</v>
      </c>
      <c r="E153" s="102"/>
      <c r="F153" s="102"/>
      <c r="G153" s="102"/>
      <c r="H153" s="102"/>
      <c r="I153" s="102"/>
      <c r="J153" s="102"/>
      <c r="K153" s="102"/>
      <c r="L153" s="102"/>
      <c r="M153" s="102"/>
      <c r="N153" s="102"/>
      <c r="O153" s="102"/>
      <c r="P153" s="102"/>
    </row>
    <row r="154" spans="2:16" s="81" customFormat="1" ht="14.25" x14ac:dyDescent="0.2">
      <c r="B154" s="79"/>
      <c r="C154" s="80" t="s">
        <v>367</v>
      </c>
      <c r="D154" s="103" t="s">
        <v>368</v>
      </c>
      <c r="E154" s="103"/>
      <c r="F154" s="103"/>
      <c r="G154" s="103"/>
      <c r="H154" s="103"/>
      <c r="I154" s="103"/>
      <c r="J154" s="103"/>
      <c r="K154" s="103"/>
      <c r="L154" s="103"/>
      <c r="M154" s="103"/>
      <c r="N154" s="103"/>
      <c r="O154" s="103"/>
      <c r="P154" s="103"/>
    </row>
    <row r="155" spans="2:16" x14ac:dyDescent="0.25">
      <c r="B155" s="29">
        <v>85</v>
      </c>
      <c r="C155" s="34" t="s">
        <v>369</v>
      </c>
      <c r="D155" s="35" t="s">
        <v>370</v>
      </c>
      <c r="E155" s="35" t="s">
        <v>371</v>
      </c>
      <c r="F155" s="74">
        <v>0.04</v>
      </c>
      <c r="G155" s="75">
        <v>1</v>
      </c>
      <c r="H155" s="76">
        <f>F155 * G155 * 29412.732</f>
        <v>1176.50928</v>
      </c>
      <c r="I155" s="76">
        <f>F155 * G155 * 0</f>
        <v>0</v>
      </c>
      <c r="J155" s="76">
        <f>F155 * G155 * 158776.296</f>
        <v>6351.0518400000001</v>
      </c>
      <c r="K155" s="76">
        <f>F155 * G155 * 84666.103435</f>
        <v>3386.6441374000001</v>
      </c>
      <c r="L155" s="76">
        <f>F155 * G155 * 28649.788801</f>
        <v>1145.99155204</v>
      </c>
      <c r="M155" s="76">
        <f>F155 * G155 * 17786.99652</f>
        <v>711.47986079999998</v>
      </c>
      <c r="N155" s="77">
        <f>SUM(H155:M155)</f>
        <v>12771.67667024</v>
      </c>
      <c r="O155" s="10">
        <f>N155*1.07*1.09*1.05</f>
        <v>15640.386825525962</v>
      </c>
      <c r="P155" s="78">
        <f t="shared" ref="P155:P158" si="31">IF($P$9&gt;0,O155/$P$9/12,0)</f>
        <v>9.0248273701276152E-2</v>
      </c>
    </row>
    <row r="156" spans="2:16" x14ac:dyDescent="0.25">
      <c r="B156" s="29">
        <v>86</v>
      </c>
      <c r="C156" s="34" t="s">
        <v>372</v>
      </c>
      <c r="D156" s="35" t="s">
        <v>373</v>
      </c>
      <c r="E156" s="35" t="s">
        <v>371</v>
      </c>
      <c r="F156" s="74">
        <v>0.05</v>
      </c>
      <c r="G156" s="75">
        <v>1</v>
      </c>
      <c r="H156" s="76">
        <f>F156 * G156 * 15245.020875</f>
        <v>762.25104375000001</v>
      </c>
      <c r="I156" s="76">
        <f>F156 * G156 * 0</f>
        <v>0</v>
      </c>
      <c r="J156" s="76">
        <f>F156 * G156 * 0</f>
        <v>0</v>
      </c>
      <c r="K156" s="76">
        <f>F156 * G156 * 14513.259873</f>
        <v>725.66299365000009</v>
      </c>
      <c r="L156" s="76">
        <f>F156 * G156 * 3124.619479</f>
        <v>156.23097395000002</v>
      </c>
      <c r="M156" s="76">
        <f>F156 * G156 * 3049.004175</f>
        <v>152.45020875</v>
      </c>
      <c r="N156" s="77">
        <f>SUM(H156:M156)</f>
        <v>1796.5952201</v>
      </c>
      <c r="O156" s="10">
        <f>N156*1.07*1.09*1.05</f>
        <v>2200.1374554627614</v>
      </c>
      <c r="P156" s="78">
        <f t="shared" si="31"/>
        <v>1.2695249131368934E-2</v>
      </c>
    </row>
    <row r="157" spans="2:16" x14ac:dyDescent="0.25">
      <c r="B157" s="29">
        <v>87</v>
      </c>
      <c r="C157" s="34" t="s">
        <v>374</v>
      </c>
      <c r="D157" s="35" t="s">
        <v>375</v>
      </c>
      <c r="E157" s="35" t="s">
        <v>376</v>
      </c>
      <c r="F157" s="74">
        <v>8.0000000000000002E-3</v>
      </c>
      <c r="G157" s="75">
        <v>1</v>
      </c>
      <c r="H157" s="76">
        <f>F157 * G157 * 35393.085</f>
        <v>283.14467999999999</v>
      </c>
      <c r="I157" s="76">
        <f>F157 * G157 * 0</f>
        <v>0</v>
      </c>
      <c r="J157" s="76">
        <f>F157 * G157 * 0</f>
        <v>0</v>
      </c>
      <c r="K157" s="76">
        <f>F157 * G157 * 33694.21692</f>
        <v>269.55373536000002</v>
      </c>
      <c r="L157" s="76">
        <f>F157 * G157 * 7254.166702</f>
        <v>58.033333616000007</v>
      </c>
      <c r="M157" s="76">
        <f>F157 * G157 * 7078.617</f>
        <v>56.628936000000003</v>
      </c>
      <c r="N157" s="77">
        <f>SUM(H157:M157)</f>
        <v>667.36068497600002</v>
      </c>
      <c r="O157" s="10">
        <f>N157*1.07*1.09*1.05</f>
        <v>817.25990523188455</v>
      </c>
      <c r="P157" s="78">
        <f t="shared" si="31"/>
        <v>4.7157590432528075E-3</v>
      </c>
    </row>
    <row r="158" spans="2:16" x14ac:dyDescent="0.25">
      <c r="B158" s="29">
        <v>88</v>
      </c>
      <c r="C158" s="34" t="s">
        <v>377</v>
      </c>
      <c r="D158" s="35" t="s">
        <v>378</v>
      </c>
      <c r="E158" s="35" t="s">
        <v>371</v>
      </c>
      <c r="F158" s="74">
        <v>0.04</v>
      </c>
      <c r="G158" s="75">
        <v>1</v>
      </c>
      <c r="H158" s="76">
        <f>F158 * G158 * 14951.4721</f>
        <v>598.05888400000003</v>
      </c>
      <c r="I158" s="76">
        <f>F158 * G158 * 0</f>
        <v>0</v>
      </c>
      <c r="J158" s="76">
        <f>F158 * G158 * 0</f>
        <v>0</v>
      </c>
      <c r="K158" s="76">
        <f>F158 * G158 * 14233.8014389999</f>
        <v>569.35205755999607</v>
      </c>
      <c r="L158" s="76">
        <f>F158 * G158 * 3064.45372199999</f>
        <v>122.57814887999962</v>
      </c>
      <c r="M158" s="76">
        <f>F158 * G158 * 2990.29442</f>
        <v>119.61177680000002</v>
      </c>
      <c r="N158" s="77">
        <f>SUM(H158:M158)</f>
        <v>1409.6008672399955</v>
      </c>
      <c r="O158" s="10">
        <f>N158*1.07*1.09*1.05</f>
        <v>1726.2183660351075</v>
      </c>
      <c r="P158" s="78">
        <f t="shared" si="31"/>
        <v>9.9606377581308424E-3</v>
      </c>
    </row>
    <row r="159" spans="2:16" s="81" customFormat="1" ht="14.25" x14ac:dyDescent="0.2">
      <c r="B159" s="79"/>
      <c r="C159" s="80" t="s">
        <v>379</v>
      </c>
      <c r="D159" s="103" t="s">
        <v>380</v>
      </c>
      <c r="E159" s="103"/>
      <c r="F159" s="103"/>
      <c r="G159" s="103"/>
      <c r="H159" s="103"/>
      <c r="I159" s="103"/>
      <c r="J159" s="103"/>
      <c r="K159" s="103"/>
      <c r="L159" s="103"/>
      <c r="M159" s="103"/>
      <c r="N159" s="103"/>
      <c r="O159" s="103"/>
      <c r="P159" s="103"/>
    </row>
    <row r="160" spans="2:16" ht="30" x14ac:dyDescent="0.25">
      <c r="B160" s="29">
        <v>89</v>
      </c>
      <c r="C160" s="34" t="s">
        <v>381</v>
      </c>
      <c r="D160" s="35" t="s">
        <v>382</v>
      </c>
      <c r="E160" s="35" t="s">
        <v>383</v>
      </c>
      <c r="F160" s="74">
        <v>2.0474999999999999</v>
      </c>
      <c r="G160" s="75">
        <v>3</v>
      </c>
      <c r="H160" s="76">
        <f>F160 * G160 * 664.69494</f>
        <v>4082.88866895</v>
      </c>
      <c r="I160" s="76">
        <f>F160 * G160 * 0</f>
        <v>0</v>
      </c>
      <c r="J160" s="76">
        <f>F160 * G160 * 0</f>
        <v>0</v>
      </c>
      <c r="K160" s="76">
        <f>F160 * G160 * 632.789583</f>
        <v>3886.9100135775002</v>
      </c>
      <c r="L160" s="76">
        <f>F160 * G160 * 136.235875</f>
        <v>836.82886218750002</v>
      </c>
      <c r="M160" s="76">
        <f>F160 * G160 * 132.938988</f>
        <v>816.57773379000002</v>
      </c>
      <c r="N160" s="77">
        <f>SUM(H160:M160)</f>
        <v>9623.205278505</v>
      </c>
      <c r="O160" s="10">
        <f>N160*1.07*1.09*1.05</f>
        <v>11784.721532136402</v>
      </c>
      <c r="P160" s="78">
        <f>IF($P$9&gt;0,O160/$P$9/12,0)</f>
        <v>6.8000285810693353E-2</v>
      </c>
    </row>
    <row r="161" spans="2:16" s="21" customFormat="1" ht="15" customHeight="1" x14ac:dyDescent="0.2">
      <c r="B161" s="19"/>
      <c r="C161" s="20"/>
      <c r="D161" s="102" t="s">
        <v>384</v>
      </c>
      <c r="E161" s="102"/>
      <c r="F161" s="102"/>
      <c r="G161" s="102"/>
      <c r="H161" s="102"/>
      <c r="I161" s="102"/>
      <c r="J161" s="102"/>
      <c r="K161" s="102"/>
      <c r="L161" s="102"/>
      <c r="M161" s="102"/>
      <c r="N161" s="102"/>
      <c r="O161" s="102"/>
      <c r="P161" s="102"/>
    </row>
    <row r="162" spans="2:16" x14ac:dyDescent="0.25">
      <c r="B162" s="29">
        <v>91</v>
      </c>
      <c r="C162" s="34"/>
      <c r="D162" s="35" t="s">
        <v>385</v>
      </c>
      <c r="E162" s="35" t="s">
        <v>386</v>
      </c>
      <c r="F162" s="74">
        <f>868.4*3</f>
        <v>2605.1999999999998</v>
      </c>
      <c r="G162" s="75">
        <v>0.2</v>
      </c>
      <c r="H162" s="76">
        <f>4500*G162*F162</f>
        <v>2344680</v>
      </c>
      <c r="I162" s="76"/>
      <c r="J162" s="76"/>
      <c r="K162" s="76"/>
      <c r="L162" s="76"/>
      <c r="M162" s="76"/>
      <c r="N162" s="77">
        <f>SUM(H162:M162)</f>
        <v>2344680</v>
      </c>
      <c r="O162" s="10">
        <f>N162*1.07*1.09*1.05</f>
        <v>2871330.2982000005</v>
      </c>
      <c r="P162" s="78">
        <f>IF($P$9&gt;0,O162/$P$9/12,0)</f>
        <v>16.568170949314503</v>
      </c>
    </row>
    <row r="163" spans="2:16" s="24" customFormat="1" ht="20.100000000000001" customHeight="1" x14ac:dyDescent="0.25">
      <c r="B163" s="106" t="s">
        <v>387</v>
      </c>
      <c r="C163" s="106"/>
      <c r="D163" s="106"/>
      <c r="E163" s="106"/>
      <c r="F163" s="106"/>
      <c r="G163" s="106"/>
      <c r="H163" s="22">
        <f>SUM(H10:H162)</f>
        <v>2514963.6619642023</v>
      </c>
      <c r="I163" s="22">
        <f t="shared" ref="I163:O163" si="32">SUM(I22:I162)</f>
        <v>111568.89240208715</v>
      </c>
      <c r="J163" s="22">
        <f t="shared" si="32"/>
        <v>7951.5587614763999</v>
      </c>
      <c r="K163" s="22">
        <f t="shared" si="32"/>
        <v>152427.96675987408</v>
      </c>
      <c r="L163" s="22">
        <f t="shared" si="32"/>
        <v>45085.846533394288</v>
      </c>
      <c r="M163" s="22">
        <f t="shared" si="32"/>
        <v>32022.682088755893</v>
      </c>
      <c r="N163" s="22">
        <f t="shared" si="32"/>
        <v>2851177.5434664367</v>
      </c>
      <c r="O163" s="22">
        <f t="shared" si="32"/>
        <v>3491594.7873921511</v>
      </c>
      <c r="P163" s="23">
        <f>SUM(P11:P162)</f>
        <v>20.596839339466833</v>
      </c>
    </row>
    <row r="164" spans="2:16" x14ac:dyDescent="0.25">
      <c r="B164" s="99" t="s">
        <v>388</v>
      </c>
      <c r="C164" s="99"/>
      <c r="D164" s="99"/>
      <c r="E164" s="99"/>
      <c r="F164" s="99"/>
      <c r="G164" s="99"/>
      <c r="H164" s="99"/>
      <c r="I164" s="99"/>
      <c r="J164" s="99"/>
      <c r="K164" s="99"/>
      <c r="L164" s="99"/>
      <c r="M164" s="100"/>
      <c r="N164" s="100"/>
      <c r="O164" s="15"/>
      <c r="P164" s="25"/>
    </row>
    <row r="165" spans="2:16" x14ac:dyDescent="0.25">
      <c r="B165" s="99"/>
      <c r="C165" s="99"/>
      <c r="D165" s="99"/>
      <c r="E165" s="99"/>
      <c r="F165" s="99"/>
      <c r="G165" s="99"/>
      <c r="H165" s="99"/>
      <c r="I165" s="99"/>
      <c r="J165" s="99"/>
      <c r="K165" s="99"/>
      <c r="L165" s="99"/>
      <c r="M165" s="101"/>
      <c r="N165" s="101"/>
      <c r="O165" s="17"/>
      <c r="P165" s="18"/>
    </row>
    <row r="166" spans="2:16" ht="15.75" customHeight="1" x14ac:dyDescent="0.25">
      <c r="B166" s="19"/>
      <c r="C166" s="20" t="s">
        <v>20</v>
      </c>
      <c r="D166" s="102" t="s">
        <v>21</v>
      </c>
      <c r="E166" s="102"/>
      <c r="F166" s="102"/>
      <c r="G166" s="102"/>
      <c r="H166" s="102"/>
      <c r="I166" s="102"/>
      <c r="J166" s="102"/>
      <c r="K166" s="102"/>
      <c r="L166" s="102"/>
      <c r="M166" s="102"/>
      <c r="N166" s="102"/>
      <c r="O166" s="102"/>
      <c r="P166" s="102"/>
    </row>
    <row r="167" spans="2:16" x14ac:dyDescent="0.25">
      <c r="B167" s="79"/>
      <c r="C167" s="80" t="s">
        <v>389</v>
      </c>
      <c r="D167" s="103" t="s">
        <v>390</v>
      </c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</row>
    <row r="168" spans="2:16" ht="45" x14ac:dyDescent="0.25">
      <c r="B168" s="29">
        <v>92</v>
      </c>
      <c r="C168" s="34" t="s">
        <v>391</v>
      </c>
      <c r="D168" s="35" t="s">
        <v>392</v>
      </c>
      <c r="E168" s="35" t="s">
        <v>393</v>
      </c>
      <c r="F168" s="74">
        <v>0.97060000000000002</v>
      </c>
      <c r="G168" s="75">
        <v>1</v>
      </c>
      <c r="H168" s="76">
        <f>F168 * G168 * 2226.8455</f>
        <v>2161.3762422999998</v>
      </c>
      <c r="I168" s="76">
        <f>F168 * G168 * 13729.122755</f>
        <v>13325.486546003001</v>
      </c>
      <c r="J168" s="76">
        <f>F168 * G168 * 0</f>
        <v>0</v>
      </c>
      <c r="K168" s="76">
        <f>F168 * G168 * 2119.956916</f>
        <v>2057.6301826696003</v>
      </c>
      <c r="L168" s="76">
        <f>F168 * G168 * 1897.972143</f>
        <v>1842.1717619957999</v>
      </c>
      <c r="M168" s="76">
        <f>F168 * G168 * 445.3691</f>
        <v>432.27524846</v>
      </c>
      <c r="N168" s="77">
        <f>SUM(H168:M168)</f>
        <v>19818.939981428401</v>
      </c>
      <c r="O168" s="10">
        <f>N168*1.07*1.09*1.05</f>
        <v>24270.571185356945</v>
      </c>
      <c r="P168" s="78">
        <f t="shared" ref="P168:P172" si="33">IF($P$9&gt;0,O168/$P$9/12,0)</f>
        <v>0.14004622619995469</v>
      </c>
    </row>
    <row r="169" spans="2:16" x14ac:dyDescent="0.25">
      <c r="B169" s="29">
        <v>93</v>
      </c>
      <c r="C169" s="34" t="s">
        <v>394</v>
      </c>
      <c r="D169" s="35" t="s">
        <v>395</v>
      </c>
      <c r="E169" s="35" t="s">
        <v>36</v>
      </c>
      <c r="F169" s="74">
        <v>0.3705</v>
      </c>
      <c r="G169" s="75">
        <v>1</v>
      </c>
      <c r="H169" s="76">
        <f>F169 * G169 * 1437.32755</f>
        <v>532.52985727500004</v>
      </c>
      <c r="I169" s="76">
        <f>F169 * G169 * 3181.4928</f>
        <v>1178.7430824</v>
      </c>
      <c r="J169" s="76">
        <f>F169 * G169 * 0</f>
        <v>0</v>
      </c>
      <c r="K169" s="76">
        <f>F169 * G169 * 1368.335828</f>
        <v>506.96842427399997</v>
      </c>
      <c r="L169" s="76">
        <f>F169 * G169 * 628.651399</f>
        <v>232.91534332949999</v>
      </c>
      <c r="M169" s="76">
        <f>F169 * G169 * 287.46551</f>
        <v>106.50597145499999</v>
      </c>
      <c r="N169" s="77">
        <f>SUM(H169:M169)</f>
        <v>2557.6626787334999</v>
      </c>
      <c r="O169" s="10">
        <f>N169*1.07*1.09*1.05</f>
        <v>3132.152081317226</v>
      </c>
      <c r="P169" s="78">
        <f t="shared" si="33"/>
        <v>1.8073166697348163E-2</v>
      </c>
    </row>
    <row r="170" spans="2:16" x14ac:dyDescent="0.25">
      <c r="B170" s="29">
        <v>94</v>
      </c>
      <c r="C170" s="34" t="s">
        <v>396</v>
      </c>
      <c r="D170" s="35" t="s">
        <v>397</v>
      </c>
      <c r="E170" s="35" t="s">
        <v>36</v>
      </c>
      <c r="F170" s="74">
        <v>2.9600000000000001E-2</v>
      </c>
      <c r="G170" s="75">
        <v>1</v>
      </c>
      <c r="H170" s="76">
        <f>F170 * G170 * 5181.5723</f>
        <v>153.37454008</v>
      </c>
      <c r="I170" s="76">
        <f>F170 * G170 * 4325.616</f>
        <v>128.03823360000001</v>
      </c>
      <c r="J170" s="76">
        <f>F170 * G170 * 0</f>
        <v>0</v>
      </c>
      <c r="K170" s="76">
        <f>F170 * G170 * 4932.85683</f>
        <v>146.01256216799999</v>
      </c>
      <c r="L170" s="76">
        <f>F170 * G170 * 1516.204739</f>
        <v>44.879660274400003</v>
      </c>
      <c r="M170" s="76">
        <f>F170 * G170 * 1036.31446</f>
        <v>30.674908016000003</v>
      </c>
      <c r="N170" s="77">
        <f>SUM(H170:M170)</f>
        <v>502.9799041384</v>
      </c>
      <c r="O170" s="10">
        <f>N170*1.07*1.09*1.05</f>
        <v>615.95673530644683</v>
      </c>
      <c r="P170" s="78">
        <f t="shared" si="33"/>
        <v>3.5541980295114186E-3</v>
      </c>
    </row>
    <row r="171" spans="2:16" x14ac:dyDescent="0.25">
      <c r="B171" s="29">
        <v>95</v>
      </c>
      <c r="C171" s="34" t="s">
        <v>398</v>
      </c>
      <c r="D171" s="35" t="s">
        <v>399</v>
      </c>
      <c r="E171" s="35" t="s">
        <v>36</v>
      </c>
      <c r="F171" s="74">
        <v>0.19</v>
      </c>
      <c r="G171" s="75">
        <v>1</v>
      </c>
      <c r="H171" s="76">
        <f>F171 * G171 * 7246.68516</f>
        <v>1376.8701804</v>
      </c>
      <c r="I171" s="76">
        <f>F171 * G171 * 4305.528</f>
        <v>818.05032000000006</v>
      </c>
      <c r="J171" s="76">
        <f>F171 * G171 * 0</f>
        <v>0</v>
      </c>
      <c r="K171" s="76">
        <f>F171 * G171 * 6898.844272</f>
        <v>1310.78041168</v>
      </c>
      <c r="L171" s="76">
        <f>F171 * G171 * 1937.36103</f>
        <v>368.09859570000003</v>
      </c>
      <c r="M171" s="76">
        <f>F171 * G171 * 1449.337032</f>
        <v>275.37403608</v>
      </c>
      <c r="N171" s="77">
        <f>SUM(H171:M171)</f>
        <v>4149.1735438600008</v>
      </c>
      <c r="O171" s="10">
        <f>N171*1.07*1.09*1.05</f>
        <v>5081.1401594141162</v>
      </c>
      <c r="P171" s="78">
        <f t="shared" si="33"/>
        <v>2.93192318666281E-2</v>
      </c>
    </row>
    <row r="172" spans="2:16" ht="45" x14ac:dyDescent="0.25">
      <c r="B172" s="29">
        <v>96</v>
      </c>
      <c r="C172" s="34" t="s">
        <v>400</v>
      </c>
      <c r="D172" s="35" t="s">
        <v>401</v>
      </c>
      <c r="E172" s="35" t="s">
        <v>402</v>
      </c>
      <c r="F172" s="74">
        <v>0.2223</v>
      </c>
      <c r="G172" s="75">
        <v>1</v>
      </c>
      <c r="H172" s="76">
        <f>F172 * G172 * 3036.6075</f>
        <v>675.03784725000003</v>
      </c>
      <c r="I172" s="76">
        <f>F172 * G172 * 21610.5761</f>
        <v>4804.0310670299996</v>
      </c>
      <c r="J172" s="76">
        <f>F172 * G172 * 0</f>
        <v>0</v>
      </c>
      <c r="K172" s="76">
        <f>F172 * G172 * 2890.85034</f>
        <v>642.63603058199999</v>
      </c>
      <c r="L172" s="76">
        <f>F172 * G172 * 2891.493564</f>
        <v>642.77901927719995</v>
      </c>
      <c r="M172" s="76">
        <f>F172 * G172 * 607.3215</f>
        <v>135.00756945000001</v>
      </c>
      <c r="N172" s="77">
        <f>SUM(H172:M172)</f>
        <v>6899.4915335891992</v>
      </c>
      <c r="O172" s="10">
        <f>N172*1.07*1.09*1.05</f>
        <v>8449.2208244063386</v>
      </c>
      <c r="P172" s="78">
        <f t="shared" si="33"/>
        <v>4.8753755391718244E-2</v>
      </c>
    </row>
    <row r="173" spans="2:16" ht="15" customHeight="1" x14ac:dyDescent="0.25">
      <c r="B173" s="19"/>
      <c r="C173" s="20" t="s">
        <v>403</v>
      </c>
      <c r="D173" s="102" t="s">
        <v>404</v>
      </c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</row>
    <row r="174" spans="2:16" x14ac:dyDescent="0.25">
      <c r="B174" s="79"/>
      <c r="C174" s="80" t="s">
        <v>405</v>
      </c>
      <c r="D174" s="103" t="s">
        <v>406</v>
      </c>
      <c r="E174" s="103"/>
      <c r="F174" s="103"/>
      <c r="G174" s="103"/>
      <c r="H174" s="103"/>
      <c r="I174" s="103"/>
      <c r="J174" s="103"/>
      <c r="K174" s="103"/>
      <c r="L174" s="103"/>
      <c r="M174" s="103"/>
      <c r="N174" s="103"/>
      <c r="O174" s="103"/>
      <c r="P174" s="103"/>
    </row>
    <row r="175" spans="2:16" ht="30" x14ac:dyDescent="0.25">
      <c r="B175" s="29">
        <v>97</v>
      </c>
      <c r="C175" s="34" t="s">
        <v>407</v>
      </c>
      <c r="D175" s="35" t="s">
        <v>408</v>
      </c>
      <c r="E175" s="35" t="s">
        <v>409</v>
      </c>
      <c r="F175" s="74">
        <v>7</v>
      </c>
      <c r="G175" s="75">
        <v>0.2</v>
      </c>
      <c r="H175" s="76">
        <f>F175 * G175 * 241.723672</f>
        <v>338.41314080000001</v>
      </c>
      <c r="I175" s="76">
        <f>F175 * G175 * 1593.4248</f>
        <v>2230.7947200000003</v>
      </c>
      <c r="J175" s="76">
        <f>F175 * G175 * 0</f>
        <v>0</v>
      </c>
      <c r="K175" s="76">
        <f>F175 * G175 * 230.120936</f>
        <v>322.16931040000003</v>
      </c>
      <c r="L175" s="76">
        <f>F175 * G175 * 216.853288</f>
        <v>303.59460319999999</v>
      </c>
      <c r="M175" s="76">
        <f>F175 * G175 * 48.344734</f>
        <v>67.682627600000004</v>
      </c>
      <c r="N175" s="77">
        <f>SUM(H175:M175)</f>
        <v>3262.6544020000006</v>
      </c>
      <c r="O175" s="10">
        <f>N175*1.07*1.09*1.05</f>
        <v>3995.4955205052315</v>
      </c>
      <c r="P175" s="78">
        <f t="shared" ref="P175:P179" si="34">IF($P$9&gt;0,O175/$P$9/12,0)</f>
        <v>2.3054837283070395E-2</v>
      </c>
    </row>
    <row r="176" spans="2:16" x14ac:dyDescent="0.25">
      <c r="B176" s="29">
        <v>98</v>
      </c>
      <c r="C176" s="34" t="s">
        <v>410</v>
      </c>
      <c r="D176" s="35" t="s">
        <v>411</v>
      </c>
      <c r="E176" s="35" t="s">
        <v>412</v>
      </c>
      <c r="F176" s="74">
        <v>9</v>
      </c>
      <c r="G176" s="75">
        <v>1</v>
      </c>
      <c r="H176" s="76">
        <f>F176 * G176 * 16.19524</f>
        <v>145.75716</v>
      </c>
      <c r="I176" s="76">
        <f>F176 * G176 * 971.66772</f>
        <v>8745.0094800000006</v>
      </c>
      <c r="J176" s="76">
        <f>F176 * G176 * 0</f>
        <v>0</v>
      </c>
      <c r="K176" s="76">
        <f>F176 * G176 * 15.417868</f>
        <v>138.76081200000002</v>
      </c>
      <c r="L176" s="76">
        <f>F176 * G176 * 105.344487</f>
        <v>948.10038299999997</v>
      </c>
      <c r="M176" s="76">
        <f>F176 * G176 * 3.239048</f>
        <v>29.151432</v>
      </c>
      <c r="N176" s="77">
        <f>SUM(H176:M176)</f>
        <v>10006.779267</v>
      </c>
      <c r="O176" s="10">
        <f>N176*1.07*1.09*1.05</f>
        <v>12254.451992057207</v>
      </c>
      <c r="P176" s="78">
        <f t="shared" si="34"/>
        <v>7.0710727923517097E-2</v>
      </c>
    </row>
    <row r="177" spans="2:16" x14ac:dyDescent="0.25">
      <c r="B177" s="29">
        <v>99</v>
      </c>
      <c r="C177" s="34" t="s">
        <v>413</v>
      </c>
      <c r="D177" s="35" t="s">
        <v>414</v>
      </c>
      <c r="E177" s="35" t="s">
        <v>415</v>
      </c>
      <c r="F177" s="74">
        <v>1</v>
      </c>
      <c r="G177" s="75">
        <v>0.2</v>
      </c>
      <c r="H177" s="76">
        <f>F177 * G177 * 89.07382</f>
        <v>17.814764</v>
      </c>
      <c r="I177" s="76">
        <f>F177 * G177 * 133.00488</f>
        <v>26.600976000000003</v>
      </c>
      <c r="J177" s="76">
        <f>F177 * G177 * 0</f>
        <v>0</v>
      </c>
      <c r="K177" s="76">
        <f>F177 * G177 * 84.798277</f>
        <v>16.959655399999999</v>
      </c>
      <c r="L177" s="76">
        <f>F177 * G177 * 32.222083</f>
        <v>6.4444166000000003</v>
      </c>
      <c r="M177" s="76">
        <f>F177 * G177 * 17.814764</f>
        <v>3.5629528000000001</v>
      </c>
      <c r="N177" s="77">
        <f>SUM(H177:M177)</f>
        <v>71.382764800000004</v>
      </c>
      <c r="O177" s="10">
        <f>N177*1.07*1.09*1.05</f>
        <v>87.416404515552017</v>
      </c>
      <c r="P177" s="78">
        <f t="shared" si="34"/>
        <v>5.0441077248968296E-4</v>
      </c>
    </row>
    <row r="178" spans="2:16" x14ac:dyDescent="0.25">
      <c r="B178" s="29">
        <v>100</v>
      </c>
      <c r="C178" s="34" t="s">
        <v>416</v>
      </c>
      <c r="D178" s="35" t="s">
        <v>417</v>
      </c>
      <c r="E178" s="35" t="s">
        <v>418</v>
      </c>
      <c r="F178" s="74">
        <v>1</v>
      </c>
      <c r="G178" s="75">
        <v>0.2</v>
      </c>
      <c r="H178" s="76">
        <f>F178 * G178 * 141.70835</f>
        <v>28.341670000000001</v>
      </c>
      <c r="I178" s="76">
        <f>F178 * G178 * 3353.73624</f>
        <v>670.74724800000013</v>
      </c>
      <c r="J178" s="76">
        <f>F178 * G178 * 0</f>
        <v>0</v>
      </c>
      <c r="K178" s="76">
        <f>F178 * G178 * 134.90635</f>
        <v>26.981270000000002</v>
      </c>
      <c r="L178" s="76">
        <f>F178 * G178 * 381.186849</f>
        <v>76.237369799999996</v>
      </c>
      <c r="M178" s="76">
        <f>F178 * G178 * 28.34167</f>
        <v>5.6683340000000006</v>
      </c>
      <c r="N178" s="77">
        <f>SUM(H178:M178)</f>
        <v>807.97589180000011</v>
      </c>
      <c r="O178" s="10">
        <f>N178*1.07*1.09*1.05</f>
        <v>989.45939673665737</v>
      </c>
      <c r="P178" s="78">
        <f t="shared" si="34"/>
        <v>5.7093858003084601E-3</v>
      </c>
    </row>
    <row r="179" spans="2:16" ht="30" x14ac:dyDescent="0.25">
      <c r="B179" s="29">
        <v>101</v>
      </c>
      <c r="C179" s="34" t="s">
        <v>419</v>
      </c>
      <c r="D179" s="35" t="s">
        <v>420</v>
      </c>
      <c r="E179" s="35" t="s">
        <v>421</v>
      </c>
      <c r="F179" s="74">
        <v>1</v>
      </c>
      <c r="G179" s="75">
        <v>1</v>
      </c>
      <c r="H179" s="76">
        <f>F179 * G179 * 214.58693</f>
        <v>214.58693</v>
      </c>
      <c r="I179" s="76">
        <f>F179 * G179 * 108.405949</f>
        <v>108.40594900000001</v>
      </c>
      <c r="J179" s="76">
        <f>F179 * G179 * 0</f>
        <v>0</v>
      </c>
      <c r="K179" s="76">
        <f>F179 * G179 * 204.286757</f>
        <v>204.28675699999999</v>
      </c>
      <c r="L179" s="76">
        <f>F179 * G179 * 55.364362</f>
        <v>55.364362</v>
      </c>
      <c r="M179" s="76">
        <f>F179 * G179 * 42.917386</f>
        <v>42.917386</v>
      </c>
      <c r="N179" s="77">
        <f>SUM(H179:M179)</f>
        <v>625.56138399999998</v>
      </c>
      <c r="O179" s="10">
        <f>N179*1.07*1.09*1.05</f>
        <v>766.07185426716012</v>
      </c>
      <c r="P179" s="78">
        <f t="shared" si="34"/>
        <v>4.420393379651711E-3</v>
      </c>
    </row>
    <row r="180" spans="2:16" x14ac:dyDescent="0.25">
      <c r="B180" s="79"/>
      <c r="C180" s="80" t="s">
        <v>422</v>
      </c>
      <c r="D180" s="103" t="s">
        <v>423</v>
      </c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</row>
    <row r="181" spans="2:16" x14ac:dyDescent="0.25">
      <c r="B181" s="29">
        <v>102</v>
      </c>
      <c r="C181" s="34" t="s">
        <v>424</v>
      </c>
      <c r="D181" s="35" t="s">
        <v>425</v>
      </c>
      <c r="E181" s="35" t="s">
        <v>426</v>
      </c>
      <c r="F181" s="74">
        <v>1</v>
      </c>
      <c r="G181" s="75">
        <v>0.2</v>
      </c>
      <c r="H181" s="76">
        <f>F181 * G181 * 212.562525</f>
        <v>42.512505000000004</v>
      </c>
      <c r="I181" s="76">
        <f>F181 * G181 * 13562.40204</f>
        <v>2712.4804080000004</v>
      </c>
      <c r="J181" s="76">
        <f>F181 * G181 * 0</f>
        <v>0</v>
      </c>
      <c r="K181" s="76">
        <f>F181 * G181 * 202.359524</f>
        <v>40.471904800000004</v>
      </c>
      <c r="L181" s="76">
        <f>F181 * G181 * 1467.619029</f>
        <v>293.52380579999999</v>
      </c>
      <c r="M181" s="76">
        <f>F181 * G181 * 42.512505</f>
        <v>8.5025010000000005</v>
      </c>
      <c r="N181" s="77">
        <f>SUM(H181:M181)</f>
        <v>3097.4911246000006</v>
      </c>
      <c r="O181" s="10">
        <f>N181*1.07*1.09*1.05</f>
        <v>3793.2340935520306</v>
      </c>
      <c r="P181" s="78">
        <f t="shared" ref="P181:P182" si="35">IF($P$9&gt;0,O181/$P$9/12,0)</f>
        <v>2.1887746927664858E-2</v>
      </c>
    </row>
    <row r="182" spans="2:16" x14ac:dyDescent="0.25">
      <c r="B182" s="29">
        <v>103</v>
      </c>
      <c r="C182" s="34" t="s">
        <v>427</v>
      </c>
      <c r="D182" s="35" t="s">
        <v>428</v>
      </c>
      <c r="E182" s="35" t="s">
        <v>429</v>
      </c>
      <c r="F182" s="74">
        <v>15</v>
      </c>
      <c r="G182" s="75">
        <v>1</v>
      </c>
      <c r="H182" s="76">
        <f>F182 * G182 * 241.723672</f>
        <v>3625.8550799999998</v>
      </c>
      <c r="I182" s="76">
        <f>F182 * G182 * 1593.4248</f>
        <v>23901.371999999999</v>
      </c>
      <c r="J182" s="76">
        <f>F182 * G182 * 0</f>
        <v>0</v>
      </c>
      <c r="K182" s="76">
        <f>F182 * G182 * 230.120936</f>
        <v>3451.8140400000002</v>
      </c>
      <c r="L182" s="76">
        <f>F182 * G182 * 216.853288</f>
        <v>3252.7993200000001</v>
      </c>
      <c r="M182" s="76">
        <f>F182 * G182 * 48.344734</f>
        <v>725.17101000000002</v>
      </c>
      <c r="N182" s="77">
        <f>SUM(H182:M182)</f>
        <v>34957.011449999998</v>
      </c>
      <c r="O182" s="10">
        <f>N182*1.07*1.09*1.05</f>
        <v>42808.880576841759</v>
      </c>
      <c r="P182" s="78">
        <f t="shared" si="35"/>
        <v>0.24701611374718277</v>
      </c>
    </row>
    <row r="183" spans="2:16" x14ac:dyDescent="0.25">
      <c r="B183" s="79"/>
      <c r="C183" s="80" t="s">
        <v>430</v>
      </c>
      <c r="D183" s="103" t="s">
        <v>431</v>
      </c>
      <c r="E183" s="103"/>
      <c r="F183" s="103"/>
      <c r="G183" s="103"/>
      <c r="H183" s="103"/>
      <c r="I183" s="103"/>
      <c r="J183" s="103"/>
      <c r="K183" s="103"/>
      <c r="L183" s="103"/>
      <c r="M183" s="103"/>
      <c r="N183" s="103"/>
      <c r="O183" s="103"/>
      <c r="P183" s="103"/>
    </row>
    <row r="184" spans="2:16" x14ac:dyDescent="0.25">
      <c r="B184" s="29">
        <v>104</v>
      </c>
      <c r="C184" s="34" t="s">
        <v>432</v>
      </c>
      <c r="D184" s="35" t="s">
        <v>433</v>
      </c>
      <c r="E184" s="35" t="s">
        <v>434</v>
      </c>
      <c r="F184" s="74">
        <v>1</v>
      </c>
      <c r="G184" s="75">
        <v>0.2</v>
      </c>
      <c r="H184" s="76">
        <f>F184 * G184 * 129.56192</f>
        <v>25.912383999999999</v>
      </c>
      <c r="I184" s="76">
        <f>F184 * G184 * 5348.51928</f>
        <v>1069.7038560000001</v>
      </c>
      <c r="J184" s="76">
        <f>F184 * G184 * 0</f>
        <v>0</v>
      </c>
      <c r="K184" s="76">
        <f>F184 * G184 * 123.342948</f>
        <v>24.668589600000004</v>
      </c>
      <c r="L184" s="76">
        <f>F184 * G184 * 588.149536</f>
        <v>117.62990720000001</v>
      </c>
      <c r="M184" s="76">
        <f>F184 * G184 * 25.912384</f>
        <v>5.1824767999999999</v>
      </c>
      <c r="N184" s="77">
        <f>SUM(H184:M184)</f>
        <v>1243.0972135999998</v>
      </c>
      <c r="O184" s="10">
        <f>N184*1.07*1.09*1.05</f>
        <v>1522.315494232764</v>
      </c>
      <c r="P184" s="78">
        <f t="shared" ref="P184:P185" si="36">IF($P$9&gt;0,O184/$P$9/12,0)</f>
        <v>8.7840759257303003E-3</v>
      </c>
    </row>
    <row r="185" spans="2:16" ht="30" x14ac:dyDescent="0.25">
      <c r="B185" s="29">
        <v>105</v>
      </c>
      <c r="C185" s="34" t="s">
        <v>435</v>
      </c>
      <c r="D185" s="35" t="s">
        <v>436</v>
      </c>
      <c r="E185" s="35" t="s">
        <v>437</v>
      </c>
      <c r="F185" s="74">
        <v>0.16669999999999999</v>
      </c>
      <c r="G185" s="75">
        <v>1</v>
      </c>
      <c r="H185" s="76">
        <f>F185 * G185 * 40488.1</f>
        <v>6749.3662699999995</v>
      </c>
      <c r="I185" s="76">
        <f>F185 * G185 * 74962.334626</f>
        <v>12496.221182154199</v>
      </c>
      <c r="J185" s="76">
        <f>F185 * G185 * 0</f>
        <v>0</v>
      </c>
      <c r="K185" s="76">
        <f>F185 * G185 * 38544.6712</f>
        <v>6425.3966890399988</v>
      </c>
      <c r="L185" s="76">
        <f>F185 * G185 * 16169.4861119999</f>
        <v>2695.4533348703831</v>
      </c>
      <c r="M185" s="76">
        <f>F185 * G185 * 8097.62</f>
        <v>1349.8732539999999</v>
      </c>
      <c r="N185" s="77">
        <f>SUM(H185:M185)</f>
        <v>29716.310730064579</v>
      </c>
      <c r="O185" s="10">
        <f>N185*1.07*1.09*1.05</f>
        <v>36391.039864698039</v>
      </c>
      <c r="P185" s="78">
        <f t="shared" si="36"/>
        <v>0.2099838426389353</v>
      </c>
    </row>
    <row r="186" spans="2:16" x14ac:dyDescent="0.25">
      <c r="B186" s="79"/>
      <c r="C186" s="80" t="s">
        <v>438</v>
      </c>
      <c r="D186" s="103" t="s">
        <v>439</v>
      </c>
      <c r="E186" s="103"/>
      <c r="F186" s="103"/>
      <c r="G186" s="103"/>
      <c r="H186" s="103"/>
      <c r="I186" s="103"/>
      <c r="J186" s="103"/>
      <c r="K186" s="103"/>
      <c r="L186" s="103"/>
      <c r="M186" s="103"/>
      <c r="N186" s="103"/>
      <c r="O186" s="103"/>
      <c r="P186" s="103"/>
    </row>
    <row r="187" spans="2:16" x14ac:dyDescent="0.25">
      <c r="B187" s="29">
        <v>106</v>
      </c>
      <c r="C187" s="34" t="s">
        <v>440</v>
      </c>
      <c r="D187" s="35" t="s">
        <v>441</v>
      </c>
      <c r="E187" s="35" t="s">
        <v>442</v>
      </c>
      <c r="F187" s="74">
        <v>13</v>
      </c>
      <c r="G187" s="75">
        <v>1</v>
      </c>
      <c r="H187" s="76">
        <f>F187 * G187 * 275.929852</f>
        <v>3587.088076</v>
      </c>
      <c r="I187" s="76">
        <f>F187 * G187 * 25.464927</f>
        <v>331.04405099999997</v>
      </c>
      <c r="J187" s="76">
        <f>F187 * G187 * 0</f>
        <v>0</v>
      </c>
      <c r="K187" s="76">
        <f>F187 * G187 * 262.685218999999</f>
        <v>3414.9078469999868</v>
      </c>
      <c r="L187" s="76">
        <f>F187 * G187 * 59.2284</f>
        <v>769.9692</v>
      </c>
      <c r="M187" s="76">
        <f>F187 * G187 * 55.18597</f>
        <v>717.41760999999997</v>
      </c>
      <c r="N187" s="77">
        <f>SUM(H187:M187)</f>
        <v>8820.4267839999866</v>
      </c>
      <c r="O187" s="10">
        <f>N187*1.07*1.09*1.05</f>
        <v>10801.626946088145</v>
      </c>
      <c r="P187" s="78">
        <f>IF($P$9&gt;0,O187/$P$9/12,0)</f>
        <v>6.2327626287264841E-2</v>
      </c>
    </row>
    <row r="188" spans="2:16" x14ac:dyDescent="0.25">
      <c r="B188" s="79"/>
      <c r="C188" s="80" t="s">
        <v>443</v>
      </c>
      <c r="D188" s="103" t="s">
        <v>444</v>
      </c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</row>
    <row r="189" spans="2:16" ht="30" x14ac:dyDescent="0.25">
      <c r="B189" s="29">
        <v>107</v>
      </c>
      <c r="C189" s="34" t="s">
        <v>445</v>
      </c>
      <c r="D189" s="35" t="s">
        <v>446</v>
      </c>
      <c r="E189" s="35" t="s">
        <v>447</v>
      </c>
      <c r="F189" s="74">
        <v>2</v>
      </c>
      <c r="G189" s="75">
        <v>2</v>
      </c>
      <c r="H189" s="76">
        <f>F189 * G189 * 1012.2025</f>
        <v>4048.81</v>
      </c>
      <c r="I189" s="76">
        <f>F189 * G189 * 0</f>
        <v>0</v>
      </c>
      <c r="J189" s="76">
        <f>F189 * G189 * 0</f>
        <v>0</v>
      </c>
      <c r="K189" s="76">
        <f>F189 * G189 * 963.61678</f>
        <v>3854.4671199999998</v>
      </c>
      <c r="L189" s="76">
        <f>F189 * G189 * 207.461024</f>
        <v>829.84409600000004</v>
      </c>
      <c r="M189" s="76">
        <f>F189 * G189 * 202.4405</f>
        <v>809.76199999999994</v>
      </c>
      <c r="N189" s="77">
        <f>SUM(H189:M189)</f>
        <v>9542.8832160000002</v>
      </c>
      <c r="O189" s="10">
        <f>N189*1.07*1.09*1.05</f>
        <v>11686.357929561842</v>
      </c>
      <c r="P189" s="78">
        <f t="shared" ref="P189:P190" si="37">IF($P$9&gt;0,O189/$P$9/12,0)</f>
        <v>6.7432707436422948E-2</v>
      </c>
    </row>
    <row r="190" spans="2:16" ht="30" x14ac:dyDescent="0.25">
      <c r="B190" s="29">
        <v>108</v>
      </c>
      <c r="C190" s="34" t="s">
        <v>448</v>
      </c>
      <c r="D190" s="35" t="s">
        <v>449</v>
      </c>
      <c r="E190" s="35" t="s">
        <v>447</v>
      </c>
      <c r="F190" s="74">
        <v>0.04</v>
      </c>
      <c r="G190" s="75">
        <v>2</v>
      </c>
      <c r="H190" s="76">
        <f>F190 * G190 * 2429.286</f>
        <v>194.34288000000001</v>
      </c>
      <c r="I190" s="76">
        <f>F190 * G190 * 0</f>
        <v>0</v>
      </c>
      <c r="J190" s="76">
        <f>F190 * G190 * 0</f>
        <v>0</v>
      </c>
      <c r="K190" s="76">
        <f>F190 * G190 * 2312.680272</f>
        <v>185.01442176</v>
      </c>
      <c r="L190" s="76">
        <f>F190 * G190 * 497.906458</f>
        <v>39.832516640000001</v>
      </c>
      <c r="M190" s="76">
        <f>F190 * G190 * 485.8572</f>
        <v>38.868575999999997</v>
      </c>
      <c r="N190" s="77">
        <f>SUM(H190:M190)</f>
        <v>458.05839440000005</v>
      </c>
      <c r="O190" s="10">
        <f>N190*1.07*1.09*1.05</f>
        <v>560.94518065815612</v>
      </c>
      <c r="P190" s="78">
        <f t="shared" si="37"/>
        <v>3.2367699571744222E-3</v>
      </c>
    </row>
    <row r="191" spans="2:16" x14ac:dyDescent="0.25">
      <c r="B191" s="79"/>
      <c r="C191" s="80" t="s">
        <v>450</v>
      </c>
      <c r="D191" s="103" t="s">
        <v>451</v>
      </c>
      <c r="E191" s="103"/>
      <c r="F191" s="103"/>
      <c r="G191" s="103"/>
      <c r="H191" s="103"/>
      <c r="I191" s="103"/>
      <c r="J191" s="103"/>
      <c r="K191" s="103"/>
      <c r="L191" s="103"/>
      <c r="M191" s="103"/>
      <c r="N191" s="103"/>
      <c r="O191" s="103"/>
      <c r="P191" s="103"/>
    </row>
    <row r="192" spans="2:16" x14ac:dyDescent="0.25">
      <c r="B192" s="29">
        <v>109</v>
      </c>
      <c r="C192" s="34" t="s">
        <v>452</v>
      </c>
      <c r="D192" s="35" t="s">
        <v>453</v>
      </c>
      <c r="E192" s="35" t="s">
        <v>454</v>
      </c>
      <c r="F192" s="74">
        <v>4</v>
      </c>
      <c r="G192" s="75">
        <v>1</v>
      </c>
      <c r="H192" s="76">
        <f>F192 * G192 * 38.463695</f>
        <v>153.85478000000001</v>
      </c>
      <c r="I192" s="76">
        <f>F192 * G192 * 43.25616</f>
        <v>173.02464000000001</v>
      </c>
      <c r="J192" s="76">
        <f t="shared" ref="J192:J198" si="38">F192 * G192 * 0</f>
        <v>0</v>
      </c>
      <c r="K192" s="76">
        <f>F192 * G192 * 36.617438</f>
        <v>146.469752</v>
      </c>
      <c r="L192" s="76">
        <f>F192 * G192 * 12.425415</f>
        <v>49.701659999999997</v>
      </c>
      <c r="M192" s="76">
        <f>F192 * G192 * 7.692739</f>
        <v>30.770956000000002</v>
      </c>
      <c r="N192" s="77">
        <f t="shared" ref="N192:N198" si="39">SUM(H192:M192)</f>
        <v>553.82178799999986</v>
      </c>
      <c r="O192" s="10">
        <f t="shared" ref="O192:O198" si="40">N192*1.07*1.09*1.05</f>
        <v>678.21846891161988</v>
      </c>
      <c r="P192" s="78">
        <f t="shared" ref="P192:P198" si="41">IF($P$9&gt;0,O192/$P$9/12,0)</f>
        <v>3.913461137144093E-3</v>
      </c>
    </row>
    <row r="193" spans="2:16" ht="30" x14ac:dyDescent="0.25">
      <c r="B193" s="29">
        <v>110</v>
      </c>
      <c r="C193" s="34" t="s">
        <v>455</v>
      </c>
      <c r="D193" s="35" t="s">
        <v>456</v>
      </c>
      <c r="E193" s="35" t="s">
        <v>457</v>
      </c>
      <c r="F193" s="74">
        <v>11</v>
      </c>
      <c r="G193" s="75">
        <v>1</v>
      </c>
      <c r="H193" s="76">
        <f>F193 * G193 * 203.184709</f>
        <v>2235.0317989999999</v>
      </c>
      <c r="I193" s="76">
        <f>F193 * G193 * 429.856304</f>
        <v>4728.4193439999999</v>
      </c>
      <c r="J193" s="76">
        <f t="shared" si="38"/>
        <v>0</v>
      </c>
      <c r="K193" s="76">
        <f>F193 * G193 * 193.431843</f>
        <v>2127.7502729999997</v>
      </c>
      <c r="L193" s="76">
        <f>F193 * G193 * 86.7796499999999</f>
        <v>954.57614999999896</v>
      </c>
      <c r="M193" s="76">
        <f>F193 * G193 * 40.636942</f>
        <v>447.00636199999997</v>
      </c>
      <c r="N193" s="77">
        <f t="shared" si="39"/>
        <v>10492.783927999999</v>
      </c>
      <c r="O193" s="10">
        <f t="shared" si="40"/>
        <v>12849.62058998772</v>
      </c>
      <c r="P193" s="78">
        <f t="shared" si="41"/>
        <v>7.4144974091698526E-2</v>
      </c>
    </row>
    <row r="194" spans="2:16" ht="30" x14ac:dyDescent="0.25">
      <c r="B194" s="29">
        <v>111</v>
      </c>
      <c r="C194" s="34" t="s">
        <v>458</v>
      </c>
      <c r="D194" s="35" t="s">
        <v>459</v>
      </c>
      <c r="E194" s="35" t="s">
        <v>457</v>
      </c>
      <c r="F194" s="74">
        <v>4</v>
      </c>
      <c r="G194" s="75">
        <v>1</v>
      </c>
      <c r="H194" s="76">
        <f>F194 * G194 * 32.39048</f>
        <v>129.56191999999999</v>
      </c>
      <c r="I194" s="76">
        <f>F194 * G194 * 43.05528</f>
        <v>172.22112000000001</v>
      </c>
      <c r="J194" s="76">
        <f t="shared" si="38"/>
        <v>0</v>
      </c>
      <c r="K194" s="76">
        <f>F194 * G194 * 30.835737</f>
        <v>123.34294800000001</v>
      </c>
      <c r="L194" s="76">
        <f>F194 * G194 * 11.159557</f>
        <v>44.638227999999998</v>
      </c>
      <c r="M194" s="76">
        <f>F194 * G194 * 6.478096</f>
        <v>25.912383999999999</v>
      </c>
      <c r="N194" s="77">
        <f t="shared" si="39"/>
        <v>495.67660000000001</v>
      </c>
      <c r="O194" s="10">
        <f t="shared" si="40"/>
        <v>607.012999509</v>
      </c>
      <c r="P194" s="78">
        <f t="shared" si="41"/>
        <v>3.502590820229193E-3</v>
      </c>
    </row>
    <row r="195" spans="2:16" ht="30" x14ac:dyDescent="0.25">
      <c r="B195" s="29">
        <v>112</v>
      </c>
      <c r="C195" s="34" t="s">
        <v>460</v>
      </c>
      <c r="D195" s="35" t="s">
        <v>461</v>
      </c>
      <c r="E195" s="35" t="s">
        <v>462</v>
      </c>
      <c r="F195" s="74">
        <v>13</v>
      </c>
      <c r="G195" s="75">
        <v>1</v>
      </c>
      <c r="H195" s="76">
        <f>F195 * G195 * 19.231848</f>
        <v>250.01402400000001</v>
      </c>
      <c r="I195" s="76">
        <f>F195 * G195 * 138.06036</f>
        <v>1794.78468</v>
      </c>
      <c r="J195" s="76">
        <f t="shared" si="38"/>
        <v>0</v>
      </c>
      <c r="K195" s="76">
        <f>F195 * G195 * 18.308719</f>
        <v>238.01334700000001</v>
      </c>
      <c r="L195" s="76">
        <f>F195 * G195 * 18.438098</f>
        <v>239.69527400000001</v>
      </c>
      <c r="M195" s="76">
        <f>F195 * G195 * 3.84637</f>
        <v>50.002809999999997</v>
      </c>
      <c r="N195" s="77">
        <f t="shared" si="39"/>
        <v>2572.510135</v>
      </c>
      <c r="O195" s="10">
        <f t="shared" si="40"/>
        <v>3150.3344989730253</v>
      </c>
      <c r="P195" s="78">
        <f t="shared" si="41"/>
        <v>1.8178083015816283E-2</v>
      </c>
    </row>
    <row r="196" spans="2:16" ht="30" x14ac:dyDescent="0.25">
      <c r="B196" s="29">
        <v>113</v>
      </c>
      <c r="C196" s="34" t="s">
        <v>463</v>
      </c>
      <c r="D196" s="35" t="s">
        <v>464</v>
      </c>
      <c r="E196" s="35" t="s">
        <v>457</v>
      </c>
      <c r="F196" s="74">
        <v>1</v>
      </c>
      <c r="G196" s="75">
        <v>1</v>
      </c>
      <c r="H196" s="76">
        <f>F196 * G196 * 372.39128</f>
        <v>372.39127999999999</v>
      </c>
      <c r="I196" s="76">
        <f>F196 * G196 * 776.852577</f>
        <v>776.852577</v>
      </c>
      <c r="J196" s="76">
        <f t="shared" si="38"/>
        <v>0</v>
      </c>
      <c r="K196" s="76">
        <f>F196 * G196 * 354.516498999999</f>
        <v>354.51649899999899</v>
      </c>
      <c r="L196" s="76">
        <f>F196 * G196 * 157.894838</f>
        <v>157.89483799999999</v>
      </c>
      <c r="M196" s="76">
        <f>F196 * G196 * 74.478256</f>
        <v>74.478256000000002</v>
      </c>
      <c r="N196" s="77">
        <f t="shared" si="39"/>
        <v>1736.1334499999989</v>
      </c>
      <c r="O196" s="10">
        <f t="shared" si="40"/>
        <v>2126.0950648717494</v>
      </c>
      <c r="P196" s="78">
        <f t="shared" si="41"/>
        <v>1.2268009191200142E-2</v>
      </c>
    </row>
    <row r="197" spans="2:16" x14ac:dyDescent="0.25">
      <c r="B197" s="29">
        <v>114</v>
      </c>
      <c r="C197" s="34" t="s">
        <v>465</v>
      </c>
      <c r="D197" s="35" t="s">
        <v>466</v>
      </c>
      <c r="E197" s="35" t="s">
        <v>457</v>
      </c>
      <c r="F197" s="74">
        <v>7</v>
      </c>
      <c r="G197" s="75">
        <v>1</v>
      </c>
      <c r="H197" s="76">
        <f>F197 * G197 * 372.39128</f>
        <v>2606.7389600000001</v>
      </c>
      <c r="I197" s="76">
        <f>F197 * G197 * 1564.302177</f>
        <v>10950.115239000001</v>
      </c>
      <c r="J197" s="76">
        <f t="shared" si="38"/>
        <v>0</v>
      </c>
      <c r="K197" s="76">
        <f>F197 * G197 * 354.516498999999</f>
        <v>2481.615492999993</v>
      </c>
      <c r="L197" s="76">
        <f>F197 * G197 * 240.577046</f>
        <v>1684.0393220000001</v>
      </c>
      <c r="M197" s="76">
        <f>F197 * G197 * 74.478256</f>
        <v>521.34779200000003</v>
      </c>
      <c r="N197" s="77">
        <f t="shared" si="39"/>
        <v>18243.856805999996</v>
      </c>
      <c r="O197" s="10">
        <f t="shared" si="40"/>
        <v>22341.700702479688</v>
      </c>
      <c r="P197" s="78">
        <f t="shared" si="41"/>
        <v>0.12891624372478239</v>
      </c>
    </row>
    <row r="198" spans="2:16" ht="30" x14ac:dyDescent="0.25">
      <c r="B198" s="29">
        <v>115</v>
      </c>
      <c r="C198" s="34" t="s">
        <v>467</v>
      </c>
      <c r="D198" s="35" t="s">
        <v>468</v>
      </c>
      <c r="E198" s="35" t="s">
        <v>469</v>
      </c>
      <c r="F198" s="74">
        <v>7.0000000000000007E-2</v>
      </c>
      <c r="G198" s="75">
        <v>1</v>
      </c>
      <c r="H198" s="76">
        <f>F198 * G198 * 14170.835</f>
        <v>991.95845000000008</v>
      </c>
      <c r="I198" s="76">
        <f>F198 * G198 * 82.747494</f>
        <v>5.7923245800000007</v>
      </c>
      <c r="J198" s="76">
        <f t="shared" si="38"/>
        <v>0</v>
      </c>
      <c r="K198" s="76">
        <f>F198 * G198 * 13490.63492</f>
        <v>944.34444440000016</v>
      </c>
      <c r="L198" s="76">
        <f>F198 * G198 * 2913.142828</f>
        <v>203.91999796000002</v>
      </c>
      <c r="M198" s="76">
        <f>F198 * G198 * 2834.167</f>
        <v>198.39169000000001</v>
      </c>
      <c r="N198" s="77">
        <f t="shared" si="39"/>
        <v>2344.4069069400002</v>
      </c>
      <c r="O198" s="10">
        <f t="shared" si="40"/>
        <v>2870.9958643423288</v>
      </c>
      <c r="P198" s="78">
        <f t="shared" si="41"/>
        <v>1.656624119663902E-2</v>
      </c>
    </row>
    <row r="199" spans="2:16" ht="15" customHeight="1" x14ac:dyDescent="0.25">
      <c r="B199" s="19"/>
      <c r="C199" s="20" t="s">
        <v>327</v>
      </c>
      <c r="D199" s="102" t="s">
        <v>328</v>
      </c>
      <c r="E199" s="102"/>
      <c r="F199" s="102"/>
      <c r="G199" s="102"/>
      <c r="H199" s="102"/>
      <c r="I199" s="102"/>
      <c r="J199" s="102"/>
      <c r="K199" s="102"/>
      <c r="L199" s="102"/>
      <c r="M199" s="102"/>
      <c r="N199" s="102"/>
      <c r="O199" s="102"/>
      <c r="P199" s="102"/>
    </row>
    <row r="200" spans="2:16" x14ac:dyDescent="0.25">
      <c r="B200" s="79"/>
      <c r="C200" s="80" t="s">
        <v>470</v>
      </c>
      <c r="D200" s="103" t="s">
        <v>471</v>
      </c>
      <c r="E200" s="103"/>
      <c r="F200" s="103"/>
      <c r="G200" s="103"/>
      <c r="H200" s="103"/>
      <c r="I200" s="103"/>
      <c r="J200" s="103"/>
      <c r="K200" s="103"/>
      <c r="L200" s="103"/>
      <c r="M200" s="103"/>
      <c r="N200" s="103"/>
      <c r="O200" s="103"/>
      <c r="P200" s="103"/>
    </row>
    <row r="201" spans="2:16" ht="30" x14ac:dyDescent="0.25">
      <c r="B201" s="29">
        <v>116</v>
      </c>
      <c r="C201" s="34" t="s">
        <v>472</v>
      </c>
      <c r="D201" s="35" t="s">
        <v>473</v>
      </c>
      <c r="E201" s="35" t="s">
        <v>474</v>
      </c>
      <c r="F201" s="74">
        <v>0.48</v>
      </c>
      <c r="G201" s="75">
        <v>2</v>
      </c>
      <c r="H201" s="76">
        <f>F201 * G201 * 2052.3708</f>
        <v>1970.2759680000001</v>
      </c>
      <c r="I201" s="76">
        <f>F201 * G201 * 0</f>
        <v>0</v>
      </c>
      <c r="J201" s="76">
        <f>F201 * G201 * 0</f>
        <v>0</v>
      </c>
      <c r="K201" s="76">
        <f>F201 * G201 * 1953.85700199999</f>
        <v>1875.7027219199904</v>
      </c>
      <c r="L201" s="76">
        <f>F201 * G201 * 420.653919</f>
        <v>403.82776223999997</v>
      </c>
      <c r="M201" s="76">
        <f>F201 * G201 * 410.47416</f>
        <v>394.0551936</v>
      </c>
      <c r="N201" s="77">
        <f>SUM(H201:M201)</f>
        <v>4643.861645759991</v>
      </c>
      <c r="O201" s="10">
        <f>N201*1.07*1.09*1.05</f>
        <v>5686.9426293223714</v>
      </c>
      <c r="P201" s="78">
        <f t="shared" ref="P201:P204" si="42">IF($P$9&gt;0,O201/$P$9/12,0)</f>
        <v>3.2814837680159553E-2</v>
      </c>
    </row>
    <row r="202" spans="2:16" x14ac:dyDescent="0.25">
      <c r="B202" s="29">
        <v>117</v>
      </c>
      <c r="C202" s="34" t="s">
        <v>475</v>
      </c>
      <c r="D202" s="35" t="s">
        <v>476</v>
      </c>
      <c r="E202" s="35" t="s">
        <v>214</v>
      </c>
      <c r="F202" s="74">
        <v>7.4092000000000002</v>
      </c>
      <c r="G202" s="75">
        <v>2</v>
      </c>
      <c r="H202" s="76">
        <f>F202 * G202 * 1012.2025</f>
        <v>14999.221525999999</v>
      </c>
      <c r="I202" s="76">
        <f>F202 * G202 * 561.33684</f>
        <v>8318.1138298560018</v>
      </c>
      <c r="J202" s="76">
        <f>F202 * G202 * 0</f>
        <v>0</v>
      </c>
      <c r="K202" s="76">
        <f>F202 * G202 * 963.61678</f>
        <v>14279.258892751999</v>
      </c>
      <c r="L202" s="76">
        <f>F202 * G202 * 266.401393</f>
        <v>3947.6424020311997</v>
      </c>
      <c r="M202" s="76">
        <f>F202 * G202 * 202.4405</f>
        <v>2999.8443051999998</v>
      </c>
      <c r="N202" s="77">
        <f>SUM(H202:M202)</f>
        <v>44544.080955839199</v>
      </c>
      <c r="O202" s="10">
        <f>N202*1.07*1.09*1.05</f>
        <v>54549.349699735023</v>
      </c>
      <c r="P202" s="78">
        <f t="shared" si="42"/>
        <v>0.31476105398453019</v>
      </c>
    </row>
    <row r="203" spans="2:16" x14ac:dyDescent="0.25">
      <c r="B203" s="29">
        <v>118</v>
      </c>
      <c r="C203" s="34" t="s">
        <v>477</v>
      </c>
      <c r="D203" s="35" t="s">
        <v>478</v>
      </c>
      <c r="E203" s="35" t="s">
        <v>214</v>
      </c>
      <c r="F203" s="74">
        <v>0.3705</v>
      </c>
      <c r="G203" s="75">
        <v>2</v>
      </c>
      <c r="H203" s="76">
        <f>F203 * G203 * 404.881</f>
        <v>300.01682099999999</v>
      </c>
      <c r="I203" s="76">
        <f>F203 * G203 * 0</f>
        <v>0</v>
      </c>
      <c r="J203" s="76">
        <f>F203 * G203 * 0</f>
        <v>0</v>
      </c>
      <c r="K203" s="76">
        <f>F203 * G203 * 385.446712</f>
        <v>285.616013592</v>
      </c>
      <c r="L203" s="76">
        <f>F203 * G203 * 82.98441</f>
        <v>61.491447809999997</v>
      </c>
      <c r="M203" s="76">
        <f>F203 * G203 * 80.9762</f>
        <v>60.003364200000007</v>
      </c>
      <c r="N203" s="77">
        <f>SUM(H203:M203)</f>
        <v>707.12764660199991</v>
      </c>
      <c r="O203" s="10">
        <f>N203*1.07*1.09*1.05</f>
        <v>865.95912294350831</v>
      </c>
      <c r="P203" s="78">
        <f t="shared" si="42"/>
        <v>4.9967636231333856E-3</v>
      </c>
    </row>
    <row r="204" spans="2:16" x14ac:dyDescent="0.25">
      <c r="B204" s="29">
        <v>119</v>
      </c>
      <c r="C204" s="34" t="s">
        <v>479</v>
      </c>
      <c r="D204" s="35" t="s">
        <v>480</v>
      </c>
      <c r="E204" s="35" t="s">
        <v>481</v>
      </c>
      <c r="F204" s="74">
        <v>3</v>
      </c>
      <c r="G204" s="75">
        <v>2</v>
      </c>
      <c r="H204" s="76">
        <f>F204 * G204 * 57.770437</f>
        <v>346.62262199999998</v>
      </c>
      <c r="I204" s="76">
        <f>F204 * G204 * 0</f>
        <v>0</v>
      </c>
      <c r="J204" s="76">
        <f>F204 * G204 * 0</f>
        <v>0</v>
      </c>
      <c r="K204" s="76">
        <f>F204 * G204 * 54.997456</f>
        <v>329.984736</v>
      </c>
      <c r="L204" s="76">
        <f>F204 * G204 * 11.840628</f>
        <v>71.043768</v>
      </c>
      <c r="M204" s="76">
        <f>F204 * G204 * 11.554087</f>
        <v>69.324522000000002</v>
      </c>
      <c r="N204" s="77">
        <f>SUM(H204:M204)</f>
        <v>816.97564799999998</v>
      </c>
      <c r="O204" s="10">
        <f>N204*1.07*1.09*1.05</f>
        <v>1000.4806331755202</v>
      </c>
      <c r="P204" s="78">
        <f t="shared" si="42"/>
        <v>5.7729806188865822E-3</v>
      </c>
    </row>
    <row r="205" spans="2:16" ht="16.5" customHeight="1" x14ac:dyDescent="0.25">
      <c r="B205" s="106" t="s">
        <v>387</v>
      </c>
      <c r="C205" s="106"/>
      <c r="D205" s="106"/>
      <c r="E205" s="106"/>
      <c r="F205" s="106"/>
      <c r="G205" s="106"/>
      <c r="H205" s="22">
        <f t="shared" ref="H205:O205" si="43">SUM(H166:H204)</f>
        <v>48273.677677105006</v>
      </c>
      <c r="I205" s="22">
        <f t="shared" si="43"/>
        <v>99466.052873623208</v>
      </c>
      <c r="J205" s="22">
        <f t="shared" si="43"/>
        <v>0</v>
      </c>
      <c r="K205" s="22">
        <f t="shared" si="43"/>
        <v>45956.54114903757</v>
      </c>
      <c r="L205" s="22">
        <f t="shared" si="43"/>
        <v>20338.108545728483</v>
      </c>
      <c r="M205" s="22">
        <f t="shared" si="43"/>
        <v>9654.735528661</v>
      </c>
      <c r="N205" s="22">
        <f t="shared" si="43"/>
        <v>223689.11577415519</v>
      </c>
      <c r="O205" s="22">
        <f t="shared" si="43"/>
        <v>273933.04651376721</v>
      </c>
      <c r="P205" s="23">
        <f>SUM(P166:P204)</f>
        <v>1.580650455348793</v>
      </c>
    </row>
    <row r="206" spans="2:16" x14ac:dyDescent="0.25">
      <c r="B206" s="99" t="s">
        <v>482</v>
      </c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100"/>
      <c r="N206" s="100"/>
      <c r="O206" s="15"/>
      <c r="P206" s="25"/>
    </row>
    <row r="207" spans="2:16" x14ac:dyDescent="0.25">
      <c r="B207" s="99"/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101"/>
      <c r="N207" s="101"/>
      <c r="O207" s="17"/>
      <c r="P207" s="18"/>
    </row>
    <row r="208" spans="2:16" ht="15.75" customHeight="1" x14ac:dyDescent="0.25">
      <c r="B208" s="19"/>
      <c r="C208" s="20" t="s">
        <v>483</v>
      </c>
      <c r="D208" s="102" t="s">
        <v>484</v>
      </c>
      <c r="E208" s="102"/>
      <c r="F208" s="102"/>
      <c r="G208" s="102"/>
      <c r="H208" s="102"/>
      <c r="I208" s="102"/>
      <c r="J208" s="102"/>
      <c r="K208" s="102"/>
      <c r="L208" s="102"/>
      <c r="M208" s="102"/>
      <c r="N208" s="102"/>
      <c r="O208" s="102"/>
      <c r="P208" s="102"/>
    </row>
    <row r="209" spans="2:16" x14ac:dyDescent="0.25">
      <c r="B209" s="79"/>
      <c r="C209" s="80" t="s">
        <v>485</v>
      </c>
      <c r="D209" s="103" t="s">
        <v>486</v>
      </c>
      <c r="E209" s="103"/>
      <c r="F209" s="103"/>
      <c r="G209" s="103"/>
      <c r="H209" s="103"/>
      <c r="I209" s="103"/>
      <c r="J209" s="103"/>
      <c r="K209" s="103"/>
      <c r="L209" s="103"/>
      <c r="M209" s="103"/>
      <c r="N209" s="103"/>
      <c r="O209" s="103"/>
      <c r="P209" s="103"/>
    </row>
    <row r="210" spans="2:16" x14ac:dyDescent="0.25">
      <c r="B210" s="79"/>
      <c r="C210" s="80" t="s">
        <v>487</v>
      </c>
      <c r="D210" s="104" t="s">
        <v>488</v>
      </c>
      <c r="E210" s="104"/>
      <c r="F210" s="104"/>
      <c r="G210" s="104"/>
      <c r="H210" s="104"/>
      <c r="I210" s="104"/>
      <c r="J210" s="104"/>
      <c r="K210" s="104"/>
      <c r="L210" s="104"/>
      <c r="M210" s="104"/>
      <c r="N210" s="104"/>
      <c r="O210" s="104"/>
      <c r="P210" s="104"/>
    </row>
    <row r="211" spans="2:16" ht="45" x14ac:dyDescent="0.25">
      <c r="B211" s="29">
        <v>120</v>
      </c>
      <c r="C211" s="34" t="s">
        <v>489</v>
      </c>
      <c r="D211" s="35" t="s">
        <v>490</v>
      </c>
      <c r="E211" s="35" t="s">
        <v>491</v>
      </c>
      <c r="F211" s="74">
        <v>7.0000000000000007E-2</v>
      </c>
      <c r="G211" s="75">
        <v>1</v>
      </c>
      <c r="H211" s="76">
        <f>F211 * G211 * 24950.02481</f>
        <v>1746.5017367</v>
      </c>
      <c r="I211" s="76">
        <f>F211 * G211 * 47362.619236</f>
        <v>3315.38334652</v>
      </c>
      <c r="J211" s="76">
        <f>F211 * G211 * 0</f>
        <v>0</v>
      </c>
      <c r="K211" s="76">
        <f>F211 * G211 * 23752.423619</f>
        <v>1662.6696533300003</v>
      </c>
      <c r="L211" s="76">
        <f>F211 * G211 * 10086.832105</f>
        <v>706.07824735000008</v>
      </c>
      <c r="M211" s="76">
        <f>F211 * G211 * 4990.004962</f>
        <v>349.30034734000003</v>
      </c>
      <c r="N211" s="77">
        <f>SUM(H211:M211)</f>
        <v>7779.9333312400013</v>
      </c>
      <c r="O211" s="10">
        <f>N211*1.07*1.09*1.05</f>
        <v>9527.4230564364752</v>
      </c>
      <c r="P211" s="78">
        <f t="shared" ref="P211:P215" si="44">IF($P$9&gt;0,O211/$P$9/12,0)</f>
        <v>5.4975205745028823E-2</v>
      </c>
    </row>
    <row r="212" spans="2:16" ht="45" x14ac:dyDescent="0.25">
      <c r="B212" s="29">
        <v>121</v>
      </c>
      <c r="C212" s="34" t="s">
        <v>492</v>
      </c>
      <c r="D212" s="35" t="s">
        <v>493</v>
      </c>
      <c r="E212" s="35" t="s">
        <v>491</v>
      </c>
      <c r="F212" s="74">
        <v>7.0000000000000007E-2</v>
      </c>
      <c r="G212" s="75">
        <v>1</v>
      </c>
      <c r="H212" s="76">
        <f>F212 * G212 * 27724.533335</f>
        <v>1940.7173334500003</v>
      </c>
      <c r="I212" s="76">
        <f>F212 * G212 * 56818.498776</f>
        <v>3977.2949143200003</v>
      </c>
      <c r="J212" s="76">
        <f>F212 * G212 * 0</f>
        <v>0</v>
      </c>
      <c r="K212" s="76">
        <f>F212 * G212 * 26393.755735</f>
        <v>1847.56290145</v>
      </c>
      <c r="L212" s="76">
        <f>F212 * G212 * 11648.362724</f>
        <v>815.38539068000011</v>
      </c>
      <c r="M212" s="76">
        <f>F212 * G212 * 5544.906667</f>
        <v>388.14346669000003</v>
      </c>
      <c r="N212" s="77">
        <f>SUM(H212:M212)</f>
        <v>8969.1040065900015</v>
      </c>
      <c r="O212" s="10">
        <f>N212*1.07*1.09*1.05</f>
        <v>10983.699303030216</v>
      </c>
      <c r="P212" s="78">
        <f t="shared" si="44"/>
        <v>6.33782215242015E-2</v>
      </c>
    </row>
    <row r="213" spans="2:16" ht="45" x14ac:dyDescent="0.25">
      <c r="B213" s="29">
        <v>122</v>
      </c>
      <c r="C213" s="34" t="s">
        <v>494</v>
      </c>
      <c r="D213" s="35" t="s">
        <v>495</v>
      </c>
      <c r="E213" s="35" t="s">
        <v>491</v>
      </c>
      <c r="F213" s="74">
        <v>0.08</v>
      </c>
      <c r="G213" s="75">
        <v>1</v>
      </c>
      <c r="H213" s="76">
        <f>F213 * G213 * 32574.785275</f>
        <v>2605.9828219999999</v>
      </c>
      <c r="I213" s="76">
        <f>F213 * G213 * 81427.422388</f>
        <v>6514.1937910400011</v>
      </c>
      <c r="J213" s="76">
        <f>F213 * G213 * 0</f>
        <v>0</v>
      </c>
      <c r="K213" s="76">
        <f>F213 * G213 * 31011.195582</f>
        <v>2480.8956465599999</v>
      </c>
      <c r="L213" s="76">
        <f>F213 * G213 * 15226.40734</f>
        <v>1218.1125872</v>
      </c>
      <c r="M213" s="76">
        <f>F213 * G213 * 6514.957055</f>
        <v>521.19656439999994</v>
      </c>
      <c r="N213" s="77">
        <f>SUM(H213:M213)</f>
        <v>13340.3814112</v>
      </c>
      <c r="O213" s="10">
        <f>N213*1.07*1.09*1.05</f>
        <v>16336.831181876692</v>
      </c>
      <c r="P213" s="78">
        <f t="shared" si="44"/>
        <v>9.4266901986547871E-2</v>
      </c>
    </row>
    <row r="214" spans="2:16" ht="45" x14ac:dyDescent="0.25">
      <c r="B214" s="29">
        <v>123</v>
      </c>
      <c r="C214" s="34" t="s">
        <v>496</v>
      </c>
      <c r="D214" s="35" t="s">
        <v>497</v>
      </c>
      <c r="E214" s="35" t="s">
        <v>491</v>
      </c>
      <c r="F214" s="74">
        <v>0.09</v>
      </c>
      <c r="G214" s="75">
        <v>1</v>
      </c>
      <c r="H214" s="76">
        <f>F214 * G214 * 35924.74742</f>
        <v>3233.2272677999999</v>
      </c>
      <c r="I214" s="76">
        <f>F214 * G214 * 90907.986513</f>
        <v>8181.7187861699995</v>
      </c>
      <c r="J214" s="76">
        <f>F214 * G214 * 0</f>
        <v>0</v>
      </c>
      <c r="K214" s="76">
        <f>F214 * G214 * 34200.359544</f>
        <v>3078.0323589599998</v>
      </c>
      <c r="L214" s="76">
        <f>F214 * G214 * 16908.474815</f>
        <v>1521.76273335</v>
      </c>
      <c r="M214" s="76">
        <f>F214 * G214 * 7184.949484</f>
        <v>646.64545355999996</v>
      </c>
      <c r="N214" s="77">
        <f>SUM(H214:M214)</f>
        <v>16661.38659984</v>
      </c>
      <c r="O214" s="10">
        <f>N214*1.07*1.09*1.05</f>
        <v>20403.783950963065</v>
      </c>
      <c r="P214" s="78">
        <f t="shared" si="44"/>
        <v>0.11773406240457845</v>
      </c>
    </row>
    <row r="215" spans="2:16" ht="45" x14ac:dyDescent="0.25">
      <c r="B215" s="29">
        <v>124</v>
      </c>
      <c r="C215" s="34" t="s">
        <v>498</v>
      </c>
      <c r="D215" s="35" t="s">
        <v>499</v>
      </c>
      <c r="E215" s="35" t="s">
        <v>491</v>
      </c>
      <c r="F215" s="74">
        <v>0.05</v>
      </c>
      <c r="G215" s="75">
        <v>1</v>
      </c>
      <c r="H215" s="76">
        <f>F215 * G215 * 45296.42066</f>
        <v>2264.8210330000002</v>
      </c>
      <c r="I215" s="76">
        <f>F215 * G215 * 143028.89213</f>
        <v>7151.4446065000002</v>
      </c>
      <c r="J215" s="76">
        <f>F215 * G215 * 0</f>
        <v>0</v>
      </c>
      <c r="K215" s="76">
        <f>F215 * G215 * 43122.192468</f>
        <v>2156.1096234000001</v>
      </c>
      <c r="L215" s="76">
        <f>F215 * G215 * 24301.988052</f>
        <v>1215.0994026000001</v>
      </c>
      <c r="M215" s="76">
        <f>F215 * G215 * 9059.284132</f>
        <v>452.96420660000007</v>
      </c>
      <c r="N215" s="77">
        <f>SUM(H215:M215)</f>
        <v>13240.438872100001</v>
      </c>
      <c r="O215" s="10">
        <f>N215*1.07*1.09*1.05</f>
        <v>16214.440049356746</v>
      </c>
      <c r="P215" s="78">
        <f t="shared" si="44"/>
        <v>9.3560679784406284E-2</v>
      </c>
    </row>
    <row r="216" spans="2:16" x14ac:dyDescent="0.25">
      <c r="B216" s="79"/>
      <c r="C216" s="80" t="s">
        <v>500</v>
      </c>
      <c r="D216" s="104" t="s">
        <v>501</v>
      </c>
      <c r="E216" s="104"/>
      <c r="F216" s="104"/>
      <c r="G216" s="104"/>
      <c r="H216" s="104"/>
      <c r="I216" s="104"/>
      <c r="J216" s="104"/>
      <c r="K216" s="104"/>
      <c r="L216" s="104"/>
      <c r="M216" s="104"/>
      <c r="N216" s="104"/>
      <c r="O216" s="104"/>
      <c r="P216" s="104"/>
    </row>
    <row r="217" spans="2:16" ht="45" x14ac:dyDescent="0.25">
      <c r="B217" s="29">
        <v>125</v>
      </c>
      <c r="C217" s="34" t="s">
        <v>502</v>
      </c>
      <c r="D217" s="35" t="s">
        <v>503</v>
      </c>
      <c r="E217" s="35" t="s">
        <v>316</v>
      </c>
      <c r="F217" s="74">
        <v>0.09</v>
      </c>
      <c r="G217" s="75">
        <v>1</v>
      </c>
      <c r="H217" s="76">
        <f>F217 * G217 * 7490.2985</f>
        <v>674.12686499999995</v>
      </c>
      <c r="I217" s="76">
        <f>F217 * G217 * 37826.932816</f>
        <v>3404.4239534399999</v>
      </c>
      <c r="J217" s="76">
        <f>F217 * G217 * 0</f>
        <v>0</v>
      </c>
      <c r="K217" s="76">
        <f>F217 * G217 * 7130.76417199999</f>
        <v>641.76877547999914</v>
      </c>
      <c r="L217" s="76">
        <f>F217 * G217 * 5507.039526</f>
        <v>495.63355733999992</v>
      </c>
      <c r="M217" s="76">
        <f>F217 * G217 * 1498.0597</f>
        <v>134.82537299999998</v>
      </c>
      <c r="N217" s="77">
        <f>SUM(H217:M217)</f>
        <v>5350.7785242599984</v>
      </c>
      <c r="O217" s="10">
        <f>N217*1.07*1.09*1.05</f>
        <v>6552.6436424866588</v>
      </c>
      <c r="P217" s="78">
        <f t="shared" ref="P217:P219" si="45">IF($P$9&gt;0,O217/$P$9/12,0)</f>
        <v>3.7810111956369498E-2</v>
      </c>
    </row>
    <row r="218" spans="2:16" ht="45" x14ac:dyDescent="0.25">
      <c r="B218" s="29">
        <v>126</v>
      </c>
      <c r="C218" s="34" t="s">
        <v>504</v>
      </c>
      <c r="D218" s="35" t="s">
        <v>505</v>
      </c>
      <c r="E218" s="35" t="s">
        <v>316</v>
      </c>
      <c r="F218" s="74">
        <v>0.2</v>
      </c>
      <c r="G218" s="75">
        <v>1</v>
      </c>
      <c r="H218" s="76">
        <f>F218 * G218 * 9109.8225</f>
        <v>1821.9645</v>
      </c>
      <c r="I218" s="76">
        <f>F218 * G218 * 37826.932816</f>
        <v>7565.3865632000006</v>
      </c>
      <c r="J218" s="76">
        <f>F218 * G218 * 0</f>
        <v>0</v>
      </c>
      <c r="K218" s="76">
        <f>F218 * G218 * 8672.55101999999</f>
        <v>1734.5102039999981</v>
      </c>
      <c r="L218" s="76">
        <f>F218 * G218 * 5838.977166</f>
        <v>1167.7954331999999</v>
      </c>
      <c r="M218" s="76">
        <f>F218 * G218 * 1821.9645</f>
        <v>364.39290000000005</v>
      </c>
      <c r="N218" s="77">
        <f>SUM(H218:M218)</f>
        <v>12654.0496004</v>
      </c>
      <c r="O218" s="10">
        <f>N218*1.07*1.09*1.05</f>
        <v>15496.338951393849</v>
      </c>
      <c r="P218" s="78">
        <f t="shared" si="45"/>
        <v>8.9417087611329507E-2</v>
      </c>
    </row>
    <row r="219" spans="2:16" ht="45" x14ac:dyDescent="0.25">
      <c r="B219" s="29">
        <v>127</v>
      </c>
      <c r="C219" s="34" t="s">
        <v>506</v>
      </c>
      <c r="D219" s="35" t="s">
        <v>507</v>
      </c>
      <c r="E219" s="35" t="s">
        <v>316</v>
      </c>
      <c r="F219" s="74">
        <v>0.13</v>
      </c>
      <c r="G219" s="75">
        <v>1</v>
      </c>
      <c r="H219" s="76">
        <f>F219 * G219 * 10729.3465</f>
        <v>1394.8150450000001</v>
      </c>
      <c r="I219" s="76">
        <f>F219 * G219 * 37826.932816</f>
        <v>4917.5012660800003</v>
      </c>
      <c r="J219" s="76">
        <f>F219 * G219 * 0</f>
        <v>0</v>
      </c>
      <c r="K219" s="76">
        <f>F219 * G219 * 10214.3378679999</f>
        <v>1327.863922839987</v>
      </c>
      <c r="L219" s="76">
        <f>F219 * G219 * 6170.914804</f>
        <v>802.21892451999997</v>
      </c>
      <c r="M219" s="76">
        <f>F219 * G219 * 2145.8693</f>
        <v>278.963009</v>
      </c>
      <c r="N219" s="77">
        <f>SUM(H219:M219)</f>
        <v>8721.3621674399874</v>
      </c>
      <c r="O219" s="10">
        <f>N219*1.07*1.09*1.05</f>
        <v>10680.310930679523</v>
      </c>
      <c r="P219" s="78">
        <f t="shared" si="45"/>
        <v>6.1627607733690644E-2</v>
      </c>
    </row>
    <row r="220" spans="2:16" x14ac:dyDescent="0.25">
      <c r="B220" s="79"/>
      <c r="C220" s="80" t="s">
        <v>508</v>
      </c>
      <c r="D220" s="104" t="s">
        <v>509</v>
      </c>
      <c r="E220" s="104"/>
      <c r="F220" s="104"/>
      <c r="G220" s="104"/>
      <c r="H220" s="104"/>
      <c r="I220" s="104"/>
      <c r="J220" s="104"/>
      <c r="K220" s="104"/>
      <c r="L220" s="104"/>
      <c r="M220" s="104"/>
      <c r="N220" s="104"/>
      <c r="O220" s="104"/>
      <c r="P220" s="104"/>
    </row>
    <row r="221" spans="2:16" x14ac:dyDescent="0.25">
      <c r="B221" s="29">
        <v>128</v>
      </c>
      <c r="C221" s="34" t="s">
        <v>510</v>
      </c>
      <c r="D221" s="35" t="s">
        <v>511</v>
      </c>
      <c r="E221" s="35" t="s">
        <v>512</v>
      </c>
      <c r="F221" s="74">
        <v>0.05</v>
      </c>
      <c r="G221" s="75">
        <v>1</v>
      </c>
      <c r="H221" s="76">
        <f>F221 * G221 * 6544.78244</f>
        <v>327.23912200000001</v>
      </c>
      <c r="I221" s="76">
        <f>F221 * G221 * 6808.711391</f>
        <v>340.43556955000003</v>
      </c>
      <c r="J221" s="76">
        <f>F221 * G221 * 0</f>
        <v>0</v>
      </c>
      <c r="K221" s="76">
        <f>F221 * G221 * 6230.632883</f>
        <v>311.53164415000003</v>
      </c>
      <c r="L221" s="76">
        <f>F221 * G221 * 2056.333305</f>
        <v>102.81666525000001</v>
      </c>
      <c r="M221" s="76">
        <f>F221 * G221 * 1308.956488</f>
        <v>65.447824400000002</v>
      </c>
      <c r="N221" s="77">
        <f>SUM(H221:M221)</f>
        <v>1147.47082535</v>
      </c>
      <c r="O221" s="10">
        <f>N221*1.07*1.09*1.05</f>
        <v>1405.2099847859904</v>
      </c>
      <c r="P221" s="78">
        <f t="shared" ref="P221:P223" si="46">IF($P$9&gt;0,O221/$P$9/12,0)</f>
        <v>8.1083528642500475E-3</v>
      </c>
    </row>
    <row r="222" spans="2:16" x14ac:dyDescent="0.25">
      <c r="B222" s="29">
        <v>129</v>
      </c>
      <c r="C222" s="34" t="s">
        <v>513</v>
      </c>
      <c r="D222" s="35" t="s">
        <v>514</v>
      </c>
      <c r="E222" s="35" t="s">
        <v>512</v>
      </c>
      <c r="F222" s="74">
        <v>0.08</v>
      </c>
      <c r="G222" s="75">
        <v>1</v>
      </c>
      <c r="H222" s="76">
        <f>F222 * G222 * 9486.51392</f>
        <v>758.92111360000001</v>
      </c>
      <c r="I222" s="76">
        <f>F222 * G222 * 14772.259248</f>
        <v>1181.78073984</v>
      </c>
      <c r="J222" s="76">
        <f>F222 * G222 * 0</f>
        <v>0</v>
      </c>
      <c r="K222" s="76">
        <f>F222 * G222 * 9031.161252</f>
        <v>722.49290015999998</v>
      </c>
      <c r="L222" s="76">
        <f>F222 * G222 * 3495.443114</f>
        <v>279.63544912000003</v>
      </c>
      <c r="M222" s="76">
        <f>F222 * G222 * 1897.302784</f>
        <v>151.78422272</v>
      </c>
      <c r="N222" s="77">
        <f>SUM(H222:M222)</f>
        <v>3094.6144254399996</v>
      </c>
      <c r="O222" s="10">
        <f>N222*1.07*1.09*1.05</f>
        <v>3789.7112446102055</v>
      </c>
      <c r="P222" s="78">
        <f t="shared" si="46"/>
        <v>2.1867419359104263E-2</v>
      </c>
    </row>
    <row r="223" spans="2:16" x14ac:dyDescent="0.25">
      <c r="B223" s="29">
        <v>130</v>
      </c>
      <c r="C223" s="34" t="s">
        <v>515</v>
      </c>
      <c r="D223" s="35" t="s">
        <v>516</v>
      </c>
      <c r="E223" s="35" t="s">
        <v>512</v>
      </c>
      <c r="F223" s="74">
        <v>0.08</v>
      </c>
      <c r="G223" s="75">
        <v>1</v>
      </c>
      <c r="H223" s="76">
        <f>F223 * G223 * 16190.9252</f>
        <v>1295.2740160000001</v>
      </c>
      <c r="I223" s="76">
        <f>F223 * G223 * 26940.047877</f>
        <v>2155.2038301600001</v>
      </c>
      <c r="J223" s="76">
        <f>F223 * G223 * 0</f>
        <v>0</v>
      </c>
      <c r="K223" s="76">
        <f>F223 * G223 * 15413.76079</f>
        <v>1233.1008632</v>
      </c>
      <c r="L223" s="76">
        <f>F223 * G223 * 6147.197056</f>
        <v>491.77576448000002</v>
      </c>
      <c r="M223" s="76">
        <f>F223 * G223 * 3238.18504</f>
        <v>259.05480319999998</v>
      </c>
      <c r="N223" s="77">
        <f>SUM(H223:M223)</f>
        <v>5434.4092770400002</v>
      </c>
      <c r="O223" s="10">
        <f>N223*1.07*1.09*1.05</f>
        <v>6655.0591168023411</v>
      </c>
      <c r="P223" s="78">
        <f t="shared" si="46"/>
        <v>3.8401070470400804E-2</v>
      </c>
    </row>
    <row r="224" spans="2:16" x14ac:dyDescent="0.25">
      <c r="B224" s="79"/>
      <c r="C224" s="80" t="s">
        <v>517</v>
      </c>
      <c r="D224" s="104" t="s">
        <v>518</v>
      </c>
      <c r="E224" s="104"/>
      <c r="F224" s="104"/>
      <c r="G224" s="104"/>
      <c r="H224" s="104"/>
      <c r="I224" s="104"/>
      <c r="J224" s="104"/>
      <c r="K224" s="104"/>
      <c r="L224" s="104"/>
      <c r="M224" s="104"/>
      <c r="N224" s="104"/>
      <c r="O224" s="104"/>
      <c r="P224" s="104"/>
    </row>
    <row r="225" spans="2:16" ht="45" x14ac:dyDescent="0.25">
      <c r="B225" s="29">
        <v>131</v>
      </c>
      <c r="C225" s="34" t="s">
        <v>519</v>
      </c>
      <c r="D225" s="35" t="s">
        <v>520</v>
      </c>
      <c r="E225" s="35" t="s">
        <v>521</v>
      </c>
      <c r="F225" s="74">
        <v>0.05</v>
      </c>
      <c r="G225" s="75">
        <v>1</v>
      </c>
      <c r="H225" s="76">
        <f>F225 * G225 * 26.317265</f>
        <v>1.31586325</v>
      </c>
      <c r="I225" s="76">
        <f>F225 * G225 * 3.958512</f>
        <v>0.19792560000000001</v>
      </c>
      <c r="J225" s="76">
        <f>F225 * G225 * 0</f>
        <v>0</v>
      </c>
      <c r="K225" s="76">
        <f>F225 * G225 * 25.054036</f>
        <v>1.2527018000000001</v>
      </c>
      <c r="L225" s="76">
        <f>F225 * G225 * 5.80963</f>
        <v>0.2904815</v>
      </c>
      <c r="M225" s="76">
        <f>F225 * G225 * 5.263453</f>
        <v>0.26317265000000001</v>
      </c>
      <c r="N225" s="77">
        <f>SUM(H225:M225)</f>
        <v>3.3201448</v>
      </c>
      <c r="O225" s="10">
        <f>N225*1.07*1.09*1.05</f>
        <v>4.0658991242520006</v>
      </c>
      <c r="P225" s="78">
        <f t="shared" ref="P225:P227" si="47">IF($P$9&gt;0,O225/$P$9/12,0)</f>
        <v>2.3461080668951673E-5</v>
      </c>
    </row>
    <row r="226" spans="2:16" ht="45" x14ac:dyDescent="0.25">
      <c r="B226" s="29">
        <v>132</v>
      </c>
      <c r="C226" s="34" t="s">
        <v>522</v>
      </c>
      <c r="D226" s="35" t="s">
        <v>523</v>
      </c>
      <c r="E226" s="35" t="s">
        <v>521</v>
      </c>
      <c r="F226" s="74">
        <v>0.09</v>
      </c>
      <c r="G226" s="75">
        <v>1</v>
      </c>
      <c r="H226" s="76">
        <f>F226 * G226 * 26.317265</f>
        <v>2.3685538499999996</v>
      </c>
      <c r="I226" s="76">
        <f>F226 * G226 * 8.142077</f>
        <v>0.73278693000000006</v>
      </c>
      <c r="J226" s="76">
        <f>F226 * G226 * 0</f>
        <v>0</v>
      </c>
      <c r="K226" s="76">
        <f>F226 * G226 * 25.054036</f>
        <v>2.2548632399999997</v>
      </c>
      <c r="L226" s="76">
        <f>F226 * G226 * 6.248905</f>
        <v>0.56240144999999997</v>
      </c>
      <c r="M226" s="76">
        <f>F226 * G226 * 5.263453</f>
        <v>0.47371077</v>
      </c>
      <c r="N226" s="77">
        <f>SUM(H226:M226)</f>
        <v>6.3923162400000004</v>
      </c>
      <c r="O226" s="10">
        <f>N226*1.07*1.09*1.05</f>
        <v>7.8281263522476019</v>
      </c>
      <c r="P226" s="78">
        <f t="shared" si="47"/>
        <v>4.516991155569175E-5</v>
      </c>
    </row>
    <row r="227" spans="2:16" ht="30" x14ac:dyDescent="0.25">
      <c r="B227" s="29">
        <v>133</v>
      </c>
      <c r="C227" s="34" t="s">
        <v>524</v>
      </c>
      <c r="D227" s="35" t="s">
        <v>525</v>
      </c>
      <c r="E227" s="35" t="s">
        <v>521</v>
      </c>
      <c r="F227" s="74">
        <v>0.09</v>
      </c>
      <c r="G227" s="75">
        <v>1</v>
      </c>
      <c r="H227" s="76">
        <f>F227 * G227 * 26.317265</f>
        <v>2.3685538499999996</v>
      </c>
      <c r="I227" s="76">
        <f>F227 * G227 * 5.927076</f>
        <v>0.53343683999999991</v>
      </c>
      <c r="J227" s="76">
        <f>F227 * G227 * 0</f>
        <v>0</v>
      </c>
      <c r="K227" s="76">
        <f>F227 * G227 * 25.054036</f>
        <v>2.2548632399999997</v>
      </c>
      <c r="L227" s="76">
        <f>F227 * G227 * 6.01633</f>
        <v>0.54146969999999994</v>
      </c>
      <c r="M227" s="76">
        <f>F227 * G227 * 5.263453</f>
        <v>0.47371077</v>
      </c>
      <c r="N227" s="77">
        <f>SUM(H227:M227)</f>
        <v>6.1720343999999994</v>
      </c>
      <c r="O227" s="10">
        <f>N227*1.07*1.09*1.05</f>
        <v>7.5583659067560003</v>
      </c>
      <c r="P227" s="78">
        <f t="shared" si="47"/>
        <v>4.3613337873078518E-5</v>
      </c>
    </row>
    <row r="228" spans="2:16" x14ac:dyDescent="0.25">
      <c r="B228" s="79"/>
      <c r="C228" s="80" t="s">
        <v>526</v>
      </c>
      <c r="D228" s="104" t="s">
        <v>527</v>
      </c>
      <c r="E228" s="104"/>
      <c r="F228" s="104"/>
      <c r="G228" s="104"/>
      <c r="H228" s="104"/>
      <c r="I228" s="104"/>
      <c r="J228" s="104"/>
      <c r="K228" s="104"/>
      <c r="L228" s="104"/>
      <c r="M228" s="104"/>
      <c r="N228" s="104"/>
      <c r="O228" s="104"/>
      <c r="P228" s="104"/>
    </row>
    <row r="229" spans="2:16" ht="45" x14ac:dyDescent="0.25">
      <c r="B229" s="29">
        <v>134</v>
      </c>
      <c r="C229" s="34" t="s">
        <v>528</v>
      </c>
      <c r="D229" s="35" t="s">
        <v>529</v>
      </c>
      <c r="E229" s="35" t="s">
        <v>530</v>
      </c>
      <c r="F229" s="74">
        <v>0.03</v>
      </c>
      <c r="G229" s="75">
        <v>1</v>
      </c>
      <c r="H229" s="76">
        <f>F229 * G229 * 38150.26096</f>
        <v>1144.5078288</v>
      </c>
      <c r="I229" s="76">
        <f>F229 * G229 * 12894.596972</f>
        <v>386.83790915999998</v>
      </c>
      <c r="J229" s="76">
        <f>F229 * G229 * 4488.4112</f>
        <v>134.65233599999999</v>
      </c>
      <c r="K229" s="76">
        <f>F229 * G229 * 38086.027245</f>
        <v>1142.58081735</v>
      </c>
      <c r="L229" s="76">
        <f>F229 * G229 * 9830.02612</f>
        <v>294.90078360000001</v>
      </c>
      <c r="M229" s="76">
        <f>F229 * G229 * 8001.266228</f>
        <v>240.03798684</v>
      </c>
      <c r="N229" s="77">
        <f t="shared" ref="N229:N234" si="48">SUM(H229:M229)</f>
        <v>3343.5176617500001</v>
      </c>
      <c r="O229" s="10">
        <f t="shared" ref="O229:O234" si="49">N229*1.07*1.09*1.05</f>
        <v>4094.5218813439769</v>
      </c>
      <c r="P229" s="78">
        <f t="shared" ref="P229:P234" si="50">IF($P$9&gt;0,O229/$P$9/12,0)</f>
        <v>2.3626239909892311E-2</v>
      </c>
    </row>
    <row r="230" spans="2:16" ht="45" x14ac:dyDescent="0.25">
      <c r="B230" s="29">
        <v>135</v>
      </c>
      <c r="C230" s="34" t="s">
        <v>531</v>
      </c>
      <c r="D230" s="35" t="s">
        <v>532</v>
      </c>
      <c r="E230" s="35" t="s">
        <v>530</v>
      </c>
      <c r="F230" s="74">
        <v>0.03</v>
      </c>
      <c r="G230" s="75">
        <v>1</v>
      </c>
      <c r="H230" s="76">
        <f>F230 * G230 * 31902.598864</f>
        <v>957.07796592</v>
      </c>
      <c r="I230" s="76">
        <f>F230 * G230 * 17388.013653</f>
        <v>521.64040958999999</v>
      </c>
      <c r="J230" s="76">
        <f>F230 * G230 * 10323.34576</f>
        <v>309.70037279999997</v>
      </c>
      <c r="K230" s="76">
        <f>F230 * G230 * 34435.325385</f>
        <v>1033.0597615499998</v>
      </c>
      <c r="L230" s="76">
        <f>F230 * G230 * 9875.174784</f>
        <v>296.25524352000002</v>
      </c>
      <c r="M230" s="76">
        <f>F230 * G230 * 7234.312056</f>
        <v>217.02936167999999</v>
      </c>
      <c r="N230" s="77">
        <f t="shared" si="48"/>
        <v>3334.7631150599996</v>
      </c>
      <c r="O230" s="10">
        <f t="shared" si="49"/>
        <v>4083.8009321492018</v>
      </c>
      <c r="P230" s="78">
        <f t="shared" si="50"/>
        <v>2.3564377810951862E-2</v>
      </c>
    </row>
    <row r="231" spans="2:16" ht="45" x14ac:dyDescent="0.25">
      <c r="B231" s="29">
        <v>136</v>
      </c>
      <c r="C231" s="34" t="s">
        <v>533</v>
      </c>
      <c r="D231" s="35" t="s">
        <v>534</v>
      </c>
      <c r="E231" s="35" t="s">
        <v>530</v>
      </c>
      <c r="F231" s="74">
        <v>0.04</v>
      </c>
      <c r="G231" s="75">
        <v>1</v>
      </c>
      <c r="H231" s="76">
        <f>F231 * G231 * 31902.598864</f>
        <v>1276.1039545599999</v>
      </c>
      <c r="I231" s="76">
        <f>F231 * G231 * 24661.966138</f>
        <v>986.47864551999999</v>
      </c>
      <c r="J231" s="76">
        <f>F231 * G231 * 10323.34576</f>
        <v>412.93383040000003</v>
      </c>
      <c r="K231" s="76">
        <f>F231 * G231 * 34435.325385</f>
        <v>1377.4130153999999</v>
      </c>
      <c r="L231" s="76">
        <f>F231 * G231 * 10638.9397959999</f>
        <v>425.55759183999601</v>
      </c>
      <c r="M231" s="76">
        <f>F231 * G231 * 7234.312056</f>
        <v>289.37248224000001</v>
      </c>
      <c r="N231" s="77">
        <f t="shared" si="48"/>
        <v>4767.8595199599959</v>
      </c>
      <c r="O231" s="10">
        <f t="shared" si="49"/>
        <v>5838.7922860358112</v>
      </c>
      <c r="P231" s="78">
        <f t="shared" si="50"/>
        <v>3.3691041672643508E-2</v>
      </c>
    </row>
    <row r="232" spans="2:16" ht="45" x14ac:dyDescent="0.25">
      <c r="B232" s="29">
        <v>137</v>
      </c>
      <c r="C232" s="34" t="s">
        <v>535</v>
      </c>
      <c r="D232" s="35" t="s">
        <v>536</v>
      </c>
      <c r="E232" s="35" t="s">
        <v>530</v>
      </c>
      <c r="F232" s="74">
        <v>0.04</v>
      </c>
      <c r="G232" s="75">
        <v>1</v>
      </c>
      <c r="H232" s="76">
        <f>F232 * G232 * 36609.53968</f>
        <v>1464.3815872</v>
      </c>
      <c r="I232" s="76">
        <f>F232 * G232 * 26746.278237</f>
        <v>1069.8511294800001</v>
      </c>
      <c r="J232" s="76">
        <f>F232 * G232 * 13016.39248</f>
        <v>520.65569920000007</v>
      </c>
      <c r="K232" s="76">
        <f>F232 * G232 * 39976.520328</f>
        <v>1599.0608131199999</v>
      </c>
      <c r="L232" s="76">
        <f>F232 * G232 * 12216.616727</f>
        <v>488.66466908000001</v>
      </c>
      <c r="M232" s="76">
        <f>F232 * G232 * 8398.42864</f>
        <v>335.93714560000001</v>
      </c>
      <c r="N232" s="77">
        <f t="shared" si="48"/>
        <v>5478.5510436799996</v>
      </c>
      <c r="O232" s="10">
        <f t="shared" si="49"/>
        <v>6709.1157863561839</v>
      </c>
      <c r="P232" s="78">
        <f t="shared" si="50"/>
        <v>3.8712988657827768E-2</v>
      </c>
    </row>
    <row r="233" spans="2:16" ht="45" x14ac:dyDescent="0.25">
      <c r="B233" s="29">
        <v>138</v>
      </c>
      <c r="C233" s="34" t="s">
        <v>537</v>
      </c>
      <c r="D233" s="35" t="s">
        <v>538</v>
      </c>
      <c r="E233" s="35" t="s">
        <v>530</v>
      </c>
      <c r="F233" s="74">
        <v>0.04</v>
      </c>
      <c r="G233" s="75">
        <v>1</v>
      </c>
      <c r="H233" s="76">
        <f>F233 * G233 * 32687.089</f>
        <v>1307.4835600000001</v>
      </c>
      <c r="I233" s="76">
        <f>F233 * G233 * 37481.305144</f>
        <v>1499.2522057599999</v>
      </c>
      <c r="J233" s="76">
        <f>F233 * G233 * 11043.03928</f>
        <v>441.72157120000003</v>
      </c>
      <c r="K233" s="76">
        <f>F233 * G233 * 35465.485907</f>
        <v>1418.6194362800002</v>
      </c>
      <c r="L233" s="76">
        <f>F233 * G233 * 12251.07653</f>
        <v>490.04306120000001</v>
      </c>
      <c r="M233" s="76">
        <f>F233 * G233 * 7450.732333</f>
        <v>298.02929332000002</v>
      </c>
      <c r="N233" s="77">
        <f t="shared" si="48"/>
        <v>5455.1491277599998</v>
      </c>
      <c r="O233" s="10">
        <f t="shared" si="49"/>
        <v>6680.457449091813</v>
      </c>
      <c r="P233" s="78">
        <f t="shared" si="50"/>
        <v>3.8547624111917859E-2</v>
      </c>
    </row>
    <row r="234" spans="2:16" ht="45" x14ac:dyDescent="0.25">
      <c r="B234" s="29">
        <v>139</v>
      </c>
      <c r="C234" s="34" t="s">
        <v>539</v>
      </c>
      <c r="D234" s="35" t="s">
        <v>540</v>
      </c>
      <c r="E234" s="35" t="s">
        <v>530</v>
      </c>
      <c r="F234" s="74">
        <v>0.03</v>
      </c>
      <c r="G234" s="75">
        <v>1</v>
      </c>
      <c r="H234" s="76">
        <f>F234 * G234 * 29026.135032</f>
        <v>870.78405095999995</v>
      </c>
      <c r="I234" s="76">
        <f>F234 * G234 * 35403.2367</f>
        <v>1062.0971010000001</v>
      </c>
      <c r="J234" s="76">
        <f>F234 * G234 * 11043.03928</f>
        <v>331.29117840000004</v>
      </c>
      <c r="K234" s="76">
        <f>F234 * G234 * 31980.2577289999</f>
        <v>959.40773186999695</v>
      </c>
      <c r="L234" s="76">
        <f>F234 * G234 * 11282.530218</f>
        <v>338.47590653999998</v>
      </c>
      <c r="M234" s="76">
        <f>F234 * G234 * 6718.54154</f>
        <v>201.5562462</v>
      </c>
      <c r="N234" s="77">
        <f t="shared" si="48"/>
        <v>3763.6122149699968</v>
      </c>
      <c r="O234" s="10">
        <f t="shared" si="49"/>
        <v>4608.9759726354832</v>
      </c>
      <c r="P234" s="78">
        <f t="shared" si="50"/>
        <v>2.6594746645406241E-2</v>
      </c>
    </row>
    <row r="235" spans="2:16" x14ac:dyDescent="0.25">
      <c r="B235" s="79"/>
      <c r="C235" s="80" t="s">
        <v>541</v>
      </c>
      <c r="D235" s="103" t="s">
        <v>542</v>
      </c>
      <c r="E235" s="103"/>
      <c r="F235" s="103"/>
      <c r="G235" s="103"/>
      <c r="H235" s="103"/>
      <c r="I235" s="103"/>
      <c r="J235" s="103"/>
      <c r="K235" s="103"/>
      <c r="L235" s="103"/>
      <c r="M235" s="103"/>
      <c r="N235" s="103"/>
      <c r="O235" s="103"/>
      <c r="P235" s="103"/>
    </row>
    <row r="236" spans="2:16" x14ac:dyDescent="0.25">
      <c r="B236" s="79"/>
      <c r="C236" s="80" t="s">
        <v>543</v>
      </c>
      <c r="D236" s="104" t="s">
        <v>544</v>
      </c>
      <c r="E236" s="104"/>
      <c r="F236" s="104"/>
      <c r="G236" s="104"/>
      <c r="H236" s="104"/>
      <c r="I236" s="104"/>
      <c r="J236" s="104"/>
      <c r="K236" s="104"/>
      <c r="L236" s="104"/>
      <c r="M236" s="104"/>
      <c r="N236" s="104"/>
      <c r="O236" s="104"/>
      <c r="P236" s="104"/>
    </row>
    <row r="237" spans="2:16" ht="30" x14ac:dyDescent="0.25">
      <c r="B237" s="29">
        <v>140</v>
      </c>
      <c r="C237" s="34" t="s">
        <v>545</v>
      </c>
      <c r="D237" s="35" t="s">
        <v>546</v>
      </c>
      <c r="E237" s="35" t="s">
        <v>547</v>
      </c>
      <c r="F237" s="74">
        <v>1</v>
      </c>
      <c r="G237" s="75">
        <v>1</v>
      </c>
      <c r="H237" s="76">
        <f>F237 * G237 * 2383.03054</f>
        <v>2383.0305400000002</v>
      </c>
      <c r="I237" s="76">
        <f>F237 * G237 * 0</f>
        <v>0</v>
      </c>
      <c r="J237" s="76">
        <f>F237 * G237 * 0</f>
        <v>0</v>
      </c>
      <c r="K237" s="76">
        <f>F237 * G237 * 2268.645074</f>
        <v>2268.645074</v>
      </c>
      <c r="L237" s="76">
        <f>F237 * G237 * 488.425938999999</f>
        <v>488.425938999999</v>
      </c>
      <c r="M237" s="76">
        <f>F237 * G237 * 476.606108</f>
        <v>476.60610800000001</v>
      </c>
      <c r="N237" s="77">
        <f>SUM(H237:M237)</f>
        <v>5616.7076609999986</v>
      </c>
      <c r="O237" s="10">
        <f>N237*1.07*1.09*1.05</f>
        <v>6878.3044522755144</v>
      </c>
      <c r="P237" s="78">
        <f>IF($P$9&gt;0,O237/$P$9/12,0)</f>
        <v>3.968924232721411E-2</v>
      </c>
    </row>
    <row r="238" spans="2:16" x14ac:dyDescent="0.25">
      <c r="B238" s="79"/>
      <c r="C238" s="80" t="s">
        <v>548</v>
      </c>
      <c r="D238" s="104" t="s">
        <v>549</v>
      </c>
      <c r="E238" s="104"/>
      <c r="F238" s="104"/>
      <c r="G238" s="104"/>
      <c r="H238" s="104"/>
      <c r="I238" s="104"/>
      <c r="J238" s="104"/>
      <c r="K238" s="104"/>
      <c r="L238" s="104"/>
      <c r="M238" s="104"/>
      <c r="N238" s="104"/>
      <c r="O238" s="104"/>
      <c r="P238" s="104"/>
    </row>
    <row r="239" spans="2:16" x14ac:dyDescent="0.25">
      <c r="B239" s="29">
        <v>141</v>
      </c>
      <c r="C239" s="34" t="s">
        <v>550</v>
      </c>
      <c r="D239" s="35" t="s">
        <v>551</v>
      </c>
      <c r="E239" s="35" t="s">
        <v>552</v>
      </c>
      <c r="F239" s="74">
        <v>5</v>
      </c>
      <c r="G239" s="75">
        <v>1</v>
      </c>
      <c r="H239" s="76">
        <f>F239 * G239 * 1677.488648</f>
        <v>8387.4432400000005</v>
      </c>
      <c r="I239" s="76">
        <f>F239 * G239 * 4071.32424</f>
        <v>20356.621200000001</v>
      </c>
      <c r="J239" s="76">
        <f>F239 * G239 * 0</f>
        <v>0</v>
      </c>
      <c r="K239" s="76">
        <f>F239 * G239 * 1596.969193</f>
        <v>7984.8459649999995</v>
      </c>
      <c r="L239" s="76">
        <f>F239 * G239 * 771.307118</f>
        <v>3856.5355899999995</v>
      </c>
      <c r="M239" s="76">
        <f>F239 * G239 * 335.49773</f>
        <v>1677.48865</v>
      </c>
      <c r="N239" s="77">
        <f>SUM(H239:M239)</f>
        <v>42262.934645000001</v>
      </c>
      <c r="O239" s="10">
        <f>N239*1.07*1.09*1.05</f>
        <v>51755.823710286691</v>
      </c>
      <c r="P239" s="78">
        <f t="shared" ref="P239:P240" si="51">IF($P$9&gt;0,O239/$P$9/12,0)</f>
        <v>0.29864183002288863</v>
      </c>
    </row>
    <row r="240" spans="2:16" x14ac:dyDescent="0.25">
      <c r="B240" s="29">
        <v>142</v>
      </c>
      <c r="C240" s="34" t="s">
        <v>553</v>
      </c>
      <c r="D240" s="35" t="s">
        <v>554</v>
      </c>
      <c r="E240" s="35" t="s">
        <v>552</v>
      </c>
      <c r="F240" s="74">
        <v>5</v>
      </c>
      <c r="G240" s="75">
        <v>1</v>
      </c>
      <c r="H240" s="76">
        <f>F240 * G240 * 1568.170778</f>
        <v>7840.8538899999994</v>
      </c>
      <c r="I240" s="76">
        <f>F240 * G240 * 12597.38568</f>
        <v>62986.928399999997</v>
      </c>
      <c r="J240" s="76">
        <f>F240 * G240 * 0</f>
        <v>0</v>
      </c>
      <c r="K240" s="76">
        <f>F240 * G240 * 1492.898581</f>
        <v>7464.4929049999992</v>
      </c>
      <c r="L240" s="76">
        <f>F240 * G240 * 1644.137779</f>
        <v>8220.6888949999993</v>
      </c>
      <c r="M240" s="76">
        <f>F240 * G240 * 313.634156</f>
        <v>1568.1707800000001</v>
      </c>
      <c r="N240" s="77">
        <f>SUM(H240:M240)</f>
        <v>88081.134869999994</v>
      </c>
      <c r="O240" s="10">
        <f>N240*1.07*1.09*1.05</f>
        <v>107865.47897882506</v>
      </c>
      <c r="P240" s="78">
        <f t="shared" si="51"/>
        <v>0.62240617053746627</v>
      </c>
    </row>
    <row r="241" spans="2:16" x14ac:dyDescent="0.25">
      <c r="B241" s="79"/>
      <c r="C241" s="80" t="s">
        <v>555</v>
      </c>
      <c r="D241" s="103" t="s">
        <v>556</v>
      </c>
      <c r="E241" s="103"/>
      <c r="F241" s="103"/>
      <c r="G241" s="103"/>
      <c r="H241" s="103"/>
      <c r="I241" s="103"/>
      <c r="J241" s="103"/>
      <c r="K241" s="103"/>
      <c r="L241" s="103"/>
      <c r="M241" s="103"/>
      <c r="N241" s="103"/>
      <c r="O241" s="103"/>
      <c r="P241" s="103"/>
    </row>
    <row r="242" spans="2:16" x14ac:dyDescent="0.25">
      <c r="B242" s="79"/>
      <c r="C242" s="80" t="s">
        <v>557</v>
      </c>
      <c r="D242" s="104" t="s">
        <v>558</v>
      </c>
      <c r="E242" s="104"/>
      <c r="F242" s="104"/>
      <c r="G242" s="104"/>
      <c r="H242" s="104"/>
      <c r="I242" s="104"/>
      <c r="J242" s="104"/>
      <c r="K242" s="104"/>
      <c r="L242" s="104"/>
      <c r="M242" s="104"/>
      <c r="N242" s="104"/>
      <c r="O242" s="104"/>
      <c r="P242" s="104"/>
    </row>
    <row r="243" spans="2:16" ht="30" x14ac:dyDescent="0.25">
      <c r="B243" s="29">
        <v>143</v>
      </c>
      <c r="C243" s="34" t="s">
        <v>559</v>
      </c>
      <c r="D243" s="35" t="s">
        <v>560</v>
      </c>
      <c r="E243" s="35" t="s">
        <v>561</v>
      </c>
      <c r="F243" s="74">
        <v>1</v>
      </c>
      <c r="G243" s="75">
        <v>1</v>
      </c>
      <c r="H243" s="76">
        <f>F243 * G243 * 3995.6656</f>
        <v>3995.6655999999998</v>
      </c>
      <c r="I243" s="76">
        <f>F243 * G243 * 0</f>
        <v>0</v>
      </c>
      <c r="J243" s="76">
        <f>F243 * G243 * 0</f>
        <v>0</v>
      </c>
      <c r="K243" s="76">
        <f>F243 * G243 * 3803.873651</f>
        <v>3803.8736509999999</v>
      </c>
      <c r="L243" s="76">
        <f>F243 * G243 * 818.951621</f>
        <v>818.95162100000005</v>
      </c>
      <c r="M243" s="76">
        <f>F243 * G243 * 799.13312</f>
        <v>799.13311999999996</v>
      </c>
      <c r="N243" s="77">
        <f>SUM(H243:M243)</f>
        <v>9417.6239920000007</v>
      </c>
      <c r="O243" s="10">
        <f>N243*1.07*1.09*1.05</f>
        <v>11532.963604963083</v>
      </c>
      <c r="P243" s="78">
        <f>IF($P$9&gt;0,O243/$P$9/12,0)</f>
        <v>6.6547590390083802E-2</v>
      </c>
    </row>
    <row r="244" spans="2:16" x14ac:dyDescent="0.25">
      <c r="B244" s="79"/>
      <c r="C244" s="80" t="s">
        <v>562</v>
      </c>
      <c r="D244" s="104" t="s">
        <v>563</v>
      </c>
      <c r="E244" s="104"/>
      <c r="F244" s="104"/>
      <c r="G244" s="104"/>
      <c r="H244" s="104"/>
      <c r="I244" s="104"/>
      <c r="J244" s="104"/>
      <c r="K244" s="104"/>
      <c r="L244" s="104"/>
      <c r="M244" s="104"/>
      <c r="N244" s="104"/>
      <c r="O244" s="104"/>
      <c r="P244" s="104"/>
    </row>
    <row r="245" spans="2:16" ht="30" x14ac:dyDescent="0.25">
      <c r="B245" s="29">
        <v>144</v>
      </c>
      <c r="C245" s="34" t="s">
        <v>564</v>
      </c>
      <c r="D245" s="35" t="s">
        <v>565</v>
      </c>
      <c r="E245" s="35" t="s">
        <v>566</v>
      </c>
      <c r="F245" s="74">
        <v>2</v>
      </c>
      <c r="G245" s="75">
        <v>1</v>
      </c>
      <c r="H245" s="76">
        <f>F245 * G245 * 60.267438</f>
        <v>120.534876</v>
      </c>
      <c r="I245" s="76">
        <f>F245 * G245 * 0</f>
        <v>0</v>
      </c>
      <c r="J245" s="76">
        <f>F245 * G245 * 0</f>
        <v>0</v>
      </c>
      <c r="K245" s="76">
        <f>F245 * G245 * 57.374601</f>
        <v>114.749202</v>
      </c>
      <c r="L245" s="76">
        <f>F245 * G245 * 12.352414</f>
        <v>24.704827999999999</v>
      </c>
      <c r="M245" s="76">
        <f>F245 * G245 * 12.053488</f>
        <v>24.106976</v>
      </c>
      <c r="N245" s="77">
        <f>SUM(H245:M245)</f>
        <v>284.09588199999996</v>
      </c>
      <c r="O245" s="10">
        <f>N245*1.07*1.09*1.05</f>
        <v>347.90807853543004</v>
      </c>
      <c r="P245" s="78">
        <f t="shared" ref="P245:P246" si="52">IF($P$9&gt;0,O245/$P$9/12,0)</f>
        <v>2.0075017226113072E-3</v>
      </c>
    </row>
    <row r="246" spans="2:16" x14ac:dyDescent="0.25">
      <c r="B246" s="29">
        <v>145</v>
      </c>
      <c r="C246" s="34" t="s">
        <v>567</v>
      </c>
      <c r="D246" s="35" t="s">
        <v>568</v>
      </c>
      <c r="E246" s="35" t="s">
        <v>569</v>
      </c>
      <c r="F246" s="74">
        <v>1</v>
      </c>
      <c r="G246" s="75">
        <v>1</v>
      </c>
      <c r="H246" s="76">
        <f>F246 * G246 * 27470.201</f>
        <v>27470.201000000001</v>
      </c>
      <c r="I246" s="76">
        <f>F246 * G246 * 0</f>
        <v>0</v>
      </c>
      <c r="J246" s="76">
        <f>F246 * G246 * 0</f>
        <v>0</v>
      </c>
      <c r="K246" s="76">
        <f>F246 * G246 * 26151.6313519999</f>
        <v>26151.631351999898</v>
      </c>
      <c r="L246" s="76">
        <f>F246 * G246 * 5630.292397</f>
        <v>5630.2923970000002</v>
      </c>
      <c r="M246" s="76">
        <f>F246 * G246 * 5494.0402</f>
        <v>5494.0402000000004</v>
      </c>
      <c r="N246" s="77">
        <f>SUM(H246:M246)</f>
        <v>64746.164948999896</v>
      </c>
      <c r="O246" s="10">
        <f>N246*1.07*1.09*1.05</f>
        <v>79289.124789019508</v>
      </c>
      <c r="P246" s="78">
        <f t="shared" si="52"/>
        <v>0.45751468396009037</v>
      </c>
    </row>
    <row r="247" spans="2:16" x14ac:dyDescent="0.25">
      <c r="B247" s="79"/>
      <c r="C247" s="80" t="s">
        <v>570</v>
      </c>
      <c r="D247" s="104" t="s">
        <v>571</v>
      </c>
      <c r="E247" s="104"/>
      <c r="F247" s="104"/>
      <c r="G247" s="104"/>
      <c r="H247" s="104"/>
      <c r="I247" s="104"/>
      <c r="J247" s="104"/>
      <c r="K247" s="104"/>
      <c r="L247" s="104"/>
      <c r="M247" s="104"/>
      <c r="N247" s="104"/>
      <c r="O247" s="104"/>
      <c r="P247" s="104"/>
    </row>
    <row r="248" spans="2:16" ht="30" x14ac:dyDescent="0.25">
      <c r="B248" s="29">
        <v>146</v>
      </c>
      <c r="C248" s="34" t="s">
        <v>572</v>
      </c>
      <c r="D248" s="35" t="s">
        <v>573</v>
      </c>
      <c r="E248" s="35" t="s">
        <v>574</v>
      </c>
      <c r="F248" s="74">
        <v>1</v>
      </c>
      <c r="G248" s="75">
        <v>1</v>
      </c>
      <c r="H248" s="76">
        <f>F248 * G248 * 566.195091</f>
        <v>566.19509100000005</v>
      </c>
      <c r="I248" s="76">
        <f>F248 * G248 * 6605.29152</f>
        <v>6605.2915199999998</v>
      </c>
      <c r="J248" s="76">
        <f>F248 * G248 * 0</f>
        <v>0</v>
      </c>
      <c r="K248" s="76">
        <f>F248 * G248 * 539.017726</f>
        <v>539.01772600000004</v>
      </c>
      <c r="L248" s="76">
        <f>F248 * G248 * 809.602956</f>
        <v>809.60295599999995</v>
      </c>
      <c r="M248" s="76">
        <f>F248 * G248 * 113.239018</f>
        <v>113.239018</v>
      </c>
      <c r="N248" s="77">
        <f>SUM(H248:M248)</f>
        <v>8633.3463110000012</v>
      </c>
      <c r="O248" s="10">
        <f>N248*1.07*1.09*1.05</f>
        <v>10572.525392645268</v>
      </c>
      <c r="P248" s="78">
        <f>IF($P$9&gt;0,O248/$P$9/12,0)</f>
        <v>6.1005662838972373E-2</v>
      </c>
    </row>
    <row r="249" spans="2:16" x14ac:dyDescent="0.25">
      <c r="B249" s="79"/>
      <c r="C249" s="80" t="s">
        <v>575</v>
      </c>
      <c r="D249" s="104" t="s">
        <v>576</v>
      </c>
      <c r="E249" s="104"/>
      <c r="F249" s="104"/>
      <c r="G249" s="104"/>
      <c r="H249" s="104"/>
      <c r="I249" s="104"/>
      <c r="J249" s="104"/>
      <c r="K249" s="104"/>
      <c r="L249" s="104"/>
      <c r="M249" s="104"/>
      <c r="N249" s="104"/>
      <c r="O249" s="104"/>
      <c r="P249" s="104"/>
    </row>
    <row r="250" spans="2:16" ht="45" x14ac:dyDescent="0.25">
      <c r="B250" s="29">
        <v>147</v>
      </c>
      <c r="C250" s="34" t="s">
        <v>577</v>
      </c>
      <c r="D250" s="35" t="s">
        <v>578</v>
      </c>
      <c r="E250" s="35" t="s">
        <v>579</v>
      </c>
      <c r="F250" s="74">
        <v>1</v>
      </c>
      <c r="G250" s="75">
        <v>1</v>
      </c>
      <c r="H250" s="76">
        <f>F250 * G250 * 3546.15322</f>
        <v>3546.1532200000001</v>
      </c>
      <c r="I250" s="76">
        <f>F250 * G250 * 0</f>
        <v>0</v>
      </c>
      <c r="J250" s="76">
        <f>F250 * G250 * 0</f>
        <v>0</v>
      </c>
      <c r="K250" s="76">
        <f>F250 * G250 * 3375.937865</f>
        <v>3375.9378649999999</v>
      </c>
      <c r="L250" s="76">
        <f>F250 * G250 * 726.819564</f>
        <v>726.81956400000001</v>
      </c>
      <c r="M250" s="76">
        <f>F250 * G250 * 709.230644</f>
        <v>709.23064399999998</v>
      </c>
      <c r="N250" s="77">
        <f>SUM(H250:M250)</f>
        <v>8358.1412930000006</v>
      </c>
      <c r="O250" s="10">
        <f>N250*1.07*1.09*1.05</f>
        <v>10235.505199527197</v>
      </c>
      <c r="P250" s="78">
        <f>IF($P$9&gt;0,O250/$P$9/12,0)</f>
        <v>5.9060986471905996E-2</v>
      </c>
    </row>
    <row r="251" spans="2:16" x14ac:dyDescent="0.25">
      <c r="B251" s="79"/>
      <c r="C251" s="80" t="s">
        <v>580</v>
      </c>
      <c r="D251" s="104" t="s">
        <v>581</v>
      </c>
      <c r="E251" s="104"/>
      <c r="F251" s="104"/>
      <c r="G251" s="104"/>
      <c r="H251" s="104"/>
      <c r="I251" s="104"/>
      <c r="J251" s="104"/>
      <c r="K251" s="104"/>
      <c r="L251" s="104"/>
      <c r="M251" s="104"/>
      <c r="N251" s="104"/>
      <c r="O251" s="104"/>
      <c r="P251" s="104"/>
    </row>
    <row r="252" spans="2:16" ht="30" x14ac:dyDescent="0.25">
      <c r="B252" s="29">
        <v>148</v>
      </c>
      <c r="C252" s="34" t="s">
        <v>582</v>
      </c>
      <c r="D252" s="35" t="s">
        <v>583</v>
      </c>
      <c r="E252" s="35" t="s">
        <v>561</v>
      </c>
      <c r="F252" s="74">
        <v>1</v>
      </c>
      <c r="G252" s="75">
        <v>1</v>
      </c>
      <c r="H252" s="76">
        <f>F252 * G252 * 1994.369798</f>
        <v>1994.3697979999999</v>
      </c>
      <c r="I252" s="76">
        <f>F252 * G252 * 72116.55612</f>
        <v>72116.556119999994</v>
      </c>
      <c r="J252" s="76">
        <f>F252 * G252 * 0</f>
        <v>0</v>
      </c>
      <c r="K252" s="76">
        <f>F252 * G252 * 1898.640048</f>
        <v>1898.640048</v>
      </c>
      <c r="L252" s="76">
        <f>F252 * G252 * 7981.004427</f>
        <v>7981.0044269999999</v>
      </c>
      <c r="M252" s="76">
        <f>F252 * G252 * 398.87396</f>
        <v>398.87396000000001</v>
      </c>
      <c r="N252" s="77">
        <f>SUM(H252:M252)</f>
        <v>84389.444352999999</v>
      </c>
      <c r="O252" s="10">
        <f>N252*1.07*1.09*1.05</f>
        <v>103344.57939634912</v>
      </c>
      <c r="P252" s="78">
        <f t="shared" ref="P252:P253" si="53">IF($P$9&gt;0,O252/$P$9/12,0)</f>
        <v>0.59631964291850803</v>
      </c>
    </row>
    <row r="253" spans="2:16" ht="30" x14ac:dyDescent="0.25">
      <c r="B253" s="29">
        <v>149</v>
      </c>
      <c r="C253" s="34" t="s">
        <v>584</v>
      </c>
      <c r="D253" s="35" t="s">
        <v>585</v>
      </c>
      <c r="E253" s="35" t="s">
        <v>586</v>
      </c>
      <c r="F253" s="74">
        <v>0.04</v>
      </c>
      <c r="G253" s="75">
        <v>1</v>
      </c>
      <c r="H253" s="76">
        <f>F253 * G253 * 19079.1612</f>
        <v>763.16644799999995</v>
      </c>
      <c r="I253" s="76">
        <f>F253 * G253 * 316757.617945</f>
        <v>12670.3047178</v>
      </c>
      <c r="J253" s="76">
        <f>F253 * G253 * 0</f>
        <v>0</v>
      </c>
      <c r="K253" s="76">
        <f>F253 * G253 * 18163.361462</f>
        <v>726.53445848000001</v>
      </c>
      <c r="L253" s="76">
        <f>F253 * G253 * 37170.014764</f>
        <v>1486.80059056</v>
      </c>
      <c r="M253" s="76">
        <f>F253 * G253 * 3815.83224</f>
        <v>152.63328960000001</v>
      </c>
      <c r="N253" s="77">
        <f>SUM(H253:M253)</f>
        <v>15799.439504440001</v>
      </c>
      <c r="O253" s="10">
        <f>N253*1.07*1.09*1.05</f>
        <v>19348.230608729791</v>
      </c>
      <c r="P253" s="78">
        <f t="shared" si="53"/>
        <v>0.11164330083973706</v>
      </c>
    </row>
    <row r="254" spans="2:16" x14ac:dyDescent="0.25">
      <c r="B254" s="79"/>
      <c r="C254" s="80" t="s">
        <v>587</v>
      </c>
      <c r="D254" s="103" t="s">
        <v>588</v>
      </c>
      <c r="E254" s="103"/>
      <c r="F254" s="103"/>
      <c r="G254" s="103"/>
      <c r="H254" s="103"/>
      <c r="I254" s="103"/>
      <c r="J254" s="103"/>
      <c r="K254" s="103"/>
      <c r="L254" s="103"/>
      <c r="M254" s="103"/>
      <c r="N254" s="103"/>
      <c r="O254" s="103"/>
      <c r="P254" s="103"/>
    </row>
    <row r="255" spans="2:16" x14ac:dyDescent="0.25">
      <c r="B255" s="79"/>
      <c r="C255" s="80" t="s">
        <v>589</v>
      </c>
      <c r="D255" s="104" t="s">
        <v>590</v>
      </c>
      <c r="E255" s="104"/>
      <c r="F255" s="104"/>
      <c r="G255" s="104"/>
      <c r="H255" s="104"/>
      <c r="I255" s="104"/>
      <c r="J255" s="104"/>
      <c r="K255" s="104"/>
      <c r="L255" s="104"/>
      <c r="M255" s="104"/>
      <c r="N255" s="104"/>
      <c r="O255" s="104"/>
      <c r="P255" s="104"/>
    </row>
    <row r="256" spans="2:16" ht="45" x14ac:dyDescent="0.25">
      <c r="B256" s="29">
        <v>150</v>
      </c>
      <c r="C256" s="34" t="s">
        <v>591</v>
      </c>
      <c r="D256" s="35" t="s">
        <v>592</v>
      </c>
      <c r="E256" s="35" t="s">
        <v>114</v>
      </c>
      <c r="F256" s="74">
        <v>0.03</v>
      </c>
      <c r="G256" s="75">
        <v>1</v>
      </c>
      <c r="H256" s="76">
        <f>F256 * G256 * 9771.467841</f>
        <v>293.14403522999999</v>
      </c>
      <c r="I256" s="76">
        <f>F256 * G256 * 2131.087483</f>
        <v>63.932624489999995</v>
      </c>
      <c r="J256" s="76">
        <f>F256 * G256 * 0</f>
        <v>0</v>
      </c>
      <c r="K256" s="76">
        <f>F256 * G256 * 9302.437385</f>
        <v>279.07312154999994</v>
      </c>
      <c r="L256" s="76">
        <f>F256 * G256 * 2226.524235</f>
        <v>66.795727049999996</v>
      </c>
      <c r="M256" s="76">
        <f>F256 * G256 * 1954.293568</f>
        <v>58.628807039999998</v>
      </c>
      <c r="N256" s="77">
        <f>SUM(H256:M256)</f>
        <v>761.5743153599999</v>
      </c>
      <c r="O256" s="10">
        <f>N256*1.07*1.09*1.05</f>
        <v>932.63533020458647</v>
      </c>
      <c r="P256" s="78">
        <f>IF($P$9&gt;0,O256/$P$9/12,0)</f>
        <v>5.3814991587302456E-3</v>
      </c>
    </row>
    <row r="257" spans="2:16" x14ac:dyDescent="0.25">
      <c r="B257" s="79"/>
      <c r="C257" s="80" t="s">
        <v>593</v>
      </c>
      <c r="D257" s="103" t="s">
        <v>594</v>
      </c>
      <c r="E257" s="103"/>
      <c r="F257" s="103"/>
      <c r="G257" s="103"/>
      <c r="H257" s="103"/>
      <c r="I257" s="103"/>
      <c r="J257" s="103"/>
      <c r="K257" s="103"/>
      <c r="L257" s="103"/>
      <c r="M257" s="103"/>
      <c r="N257" s="103"/>
      <c r="O257" s="103"/>
      <c r="P257" s="103"/>
    </row>
    <row r="258" spans="2:16" ht="30" x14ac:dyDescent="0.25">
      <c r="B258" s="29">
        <v>151</v>
      </c>
      <c r="C258" s="34" t="s">
        <v>595</v>
      </c>
      <c r="D258" s="35" t="s">
        <v>596</v>
      </c>
      <c r="E258" s="35" t="s">
        <v>36</v>
      </c>
      <c r="F258" s="74">
        <v>0.03</v>
      </c>
      <c r="G258" s="75">
        <v>1</v>
      </c>
      <c r="H258" s="76">
        <f>F258 * G258 * 17434.50885</f>
        <v>523.03526549999992</v>
      </c>
      <c r="I258" s="76">
        <f>F258 * G258 * 16826.694664</f>
        <v>504.80083991999993</v>
      </c>
      <c r="J258" s="76">
        <f>F258 * G258 * 0</f>
        <v>0</v>
      </c>
      <c r="K258" s="76">
        <f>F258 * G258 * 16597.652425</f>
        <v>497.92957274999998</v>
      </c>
      <c r="L258" s="76">
        <f>F258 * G258 * 5340.179874</f>
        <v>160.20539622000001</v>
      </c>
      <c r="M258" s="76">
        <f>F258 * G258 * 3486.90177</f>
        <v>104.60705309999999</v>
      </c>
      <c r="N258" s="77">
        <f>SUM(H258:M258)</f>
        <v>1790.57812749</v>
      </c>
      <c r="O258" s="10">
        <f>N258*1.07*1.09*1.05</f>
        <v>2192.7688335961666</v>
      </c>
      <c r="P258" s="78">
        <f t="shared" ref="P258:P262" si="54">IF($P$9&gt;0,O258/$P$9/12,0)</f>
        <v>1.2652730655935043E-2</v>
      </c>
    </row>
    <row r="259" spans="2:16" ht="30" x14ac:dyDescent="0.25">
      <c r="B259" s="29">
        <v>152</v>
      </c>
      <c r="C259" s="34" t="s">
        <v>597</v>
      </c>
      <c r="D259" s="35" t="s">
        <v>598</v>
      </c>
      <c r="E259" s="35" t="s">
        <v>36</v>
      </c>
      <c r="F259" s="74">
        <v>0.03</v>
      </c>
      <c r="G259" s="75">
        <v>1</v>
      </c>
      <c r="H259" s="76">
        <f>F259 * G259 * 22169.80755</f>
        <v>665.09422649999999</v>
      </c>
      <c r="I259" s="76">
        <f>F259 * G259 * 36609.903529</f>
        <v>1098.29710587</v>
      </c>
      <c r="J259" s="76">
        <f>F259 * G259 * 0</f>
        <v>0</v>
      </c>
      <c r="K259" s="76">
        <f>F259 * G259 * 21105.656788</f>
        <v>633.16970363999997</v>
      </c>
      <c r="L259" s="76">
        <f>F259 * G259 * 8387.963626</f>
        <v>251.63890878000001</v>
      </c>
      <c r="M259" s="76">
        <f>F259 * G259 * 4433.96151</f>
        <v>133.01884530000001</v>
      </c>
      <c r="N259" s="77">
        <f>SUM(H259:M259)</f>
        <v>2781.2187900899999</v>
      </c>
      <c r="O259" s="10">
        <f>N259*1.07*1.09*1.05</f>
        <v>3405.922248626066</v>
      </c>
      <c r="P259" s="78">
        <f t="shared" si="54"/>
        <v>1.9652877305925229E-2</v>
      </c>
    </row>
    <row r="260" spans="2:16" ht="30" x14ac:dyDescent="0.25">
      <c r="B260" s="29">
        <v>153</v>
      </c>
      <c r="C260" s="34" t="s">
        <v>599</v>
      </c>
      <c r="D260" s="35" t="s">
        <v>600</v>
      </c>
      <c r="E260" s="35" t="s">
        <v>36</v>
      </c>
      <c r="F260" s="74">
        <v>0.03</v>
      </c>
      <c r="G260" s="75">
        <v>1</v>
      </c>
      <c r="H260" s="76">
        <f>F260 * G260 * 28627.03305</f>
        <v>858.81099149999989</v>
      </c>
      <c r="I260" s="76">
        <f>F260 * G260 * 98181.586884</f>
        <v>2945.4476065200001</v>
      </c>
      <c r="J260" s="76">
        <f>F260 * G260 * 0</f>
        <v>0</v>
      </c>
      <c r="K260" s="76">
        <f>F260 * G260 * 27252.935464</f>
        <v>817.58806391999997</v>
      </c>
      <c r="L260" s="76">
        <f>F260 * G260 * 16176.463317</f>
        <v>485.29389950999996</v>
      </c>
      <c r="M260" s="76">
        <f>F260 * G260 * 5725.40661</f>
        <v>171.76219829999999</v>
      </c>
      <c r="N260" s="77">
        <f>SUM(H260:M260)</f>
        <v>5278.9027597500008</v>
      </c>
      <c r="O260" s="10">
        <f>N260*1.07*1.09*1.05</f>
        <v>6464.6235031312481</v>
      </c>
      <c r="P260" s="78">
        <f t="shared" si="54"/>
        <v>3.730221750872021E-2</v>
      </c>
    </row>
    <row r="261" spans="2:16" x14ac:dyDescent="0.25">
      <c r="B261" s="29">
        <v>154</v>
      </c>
      <c r="C261" s="34" t="s">
        <v>601</v>
      </c>
      <c r="D261" s="35" t="s">
        <v>602</v>
      </c>
      <c r="E261" s="35" t="s">
        <v>36</v>
      </c>
      <c r="F261" s="74">
        <v>0.02</v>
      </c>
      <c r="G261" s="75">
        <v>1</v>
      </c>
      <c r="H261" s="76">
        <f>F261 * G261 * 66294.1818</f>
        <v>1325.8836360000003</v>
      </c>
      <c r="I261" s="76">
        <f>F261 * G261 * 210685.820044</f>
        <v>4213.71640088</v>
      </c>
      <c r="J261" s="76">
        <f>F261 * G261 * 0</f>
        <v>0</v>
      </c>
      <c r="K261" s="76">
        <f>F261 * G261 * 63112.061074</f>
        <v>1262.2412214799999</v>
      </c>
      <c r="L261" s="76">
        <f>F261 * G261 * 35709.666607</f>
        <v>714.19333214000005</v>
      </c>
      <c r="M261" s="76">
        <f>F261 * G261 * 13258.83636</f>
        <v>265.17672720000002</v>
      </c>
      <c r="N261" s="77">
        <f>SUM(H261:M261)</f>
        <v>7781.2113177000001</v>
      </c>
      <c r="O261" s="10">
        <f>N261*1.07*1.09*1.05</f>
        <v>9528.9880978251877</v>
      </c>
      <c r="P261" s="78">
        <f t="shared" si="54"/>
        <v>5.4984236358221326E-2</v>
      </c>
    </row>
    <row r="262" spans="2:16" x14ac:dyDescent="0.25">
      <c r="B262" s="29">
        <v>155</v>
      </c>
      <c r="C262" s="34" t="s">
        <v>603</v>
      </c>
      <c r="D262" s="35" t="s">
        <v>604</v>
      </c>
      <c r="E262" s="35" t="s">
        <v>36</v>
      </c>
      <c r="F262" s="74">
        <v>0.02</v>
      </c>
      <c r="G262" s="75">
        <v>1</v>
      </c>
      <c r="H262" s="76">
        <f>F262 * G262 * 90831.6387</f>
        <v>1816.6327739999999</v>
      </c>
      <c r="I262" s="76">
        <f>F262 * G262 * 502096.930816</f>
        <v>10041.93861632</v>
      </c>
      <c r="J262" s="76">
        <f>F262 * G262 * 0</f>
        <v>0</v>
      </c>
      <c r="K262" s="76">
        <f>F262 * G262 * 86471.720042</f>
        <v>1729.4344008400001</v>
      </c>
      <c r="L262" s="76">
        <f>F262 * G262 * 71337.0304039999</f>
        <v>1426.7406080799981</v>
      </c>
      <c r="M262" s="76">
        <f>F262 * G262 * 18166.32774</f>
        <v>363.3265548</v>
      </c>
      <c r="N262" s="77">
        <f>SUM(H262:M262)</f>
        <v>15378.072954039997</v>
      </c>
      <c r="O262" s="10">
        <f>N262*1.07*1.09*1.05</f>
        <v>18832.218810611692</v>
      </c>
      <c r="P262" s="78">
        <f t="shared" si="54"/>
        <v>0.10866580581297426</v>
      </c>
    </row>
    <row r="263" spans="2:16" ht="15" customHeight="1" x14ac:dyDescent="0.25">
      <c r="B263" s="19"/>
      <c r="C263" s="20" t="s">
        <v>605</v>
      </c>
      <c r="D263" s="102" t="s">
        <v>606</v>
      </c>
      <c r="E263" s="102"/>
      <c r="F263" s="102"/>
      <c r="G263" s="102"/>
      <c r="H263" s="102"/>
      <c r="I263" s="102"/>
      <c r="J263" s="102"/>
      <c r="K263" s="102"/>
      <c r="L263" s="102"/>
      <c r="M263" s="102"/>
      <c r="N263" s="102"/>
      <c r="O263" s="102"/>
      <c r="P263" s="102"/>
    </row>
    <row r="264" spans="2:16" x14ac:dyDescent="0.25">
      <c r="B264" s="79"/>
      <c r="C264" s="80" t="s">
        <v>607</v>
      </c>
      <c r="D264" s="103" t="s">
        <v>608</v>
      </c>
      <c r="E264" s="103"/>
      <c r="F264" s="103"/>
      <c r="G264" s="103"/>
      <c r="H264" s="103"/>
      <c r="I264" s="103"/>
      <c r="J264" s="103"/>
      <c r="K264" s="103"/>
      <c r="L264" s="103"/>
      <c r="M264" s="103"/>
      <c r="N264" s="103"/>
      <c r="O264" s="103"/>
      <c r="P264" s="103"/>
    </row>
    <row r="265" spans="2:16" ht="45" x14ac:dyDescent="0.25">
      <c r="B265" s="29">
        <v>156</v>
      </c>
      <c r="C265" s="34" t="s">
        <v>609</v>
      </c>
      <c r="D265" s="35" t="s">
        <v>610</v>
      </c>
      <c r="E265" s="35" t="s">
        <v>491</v>
      </c>
      <c r="F265" s="74">
        <v>7.0000000000000007E-2</v>
      </c>
      <c r="G265" s="75">
        <v>1</v>
      </c>
      <c r="H265" s="76">
        <f>F265 * G265 * 13566.6558</f>
        <v>949.66590600000018</v>
      </c>
      <c r="I265" s="76">
        <f>F265 * G265 * 19890.975668</f>
        <v>1392.36829676</v>
      </c>
      <c r="J265" s="76">
        <f>F265 * G265 * 0</f>
        <v>0</v>
      </c>
      <c r="K265" s="76">
        <f>F265 * G265 * 12915.456322</f>
        <v>904.08194254000011</v>
      </c>
      <c r="L265" s="76">
        <f>F265 * G265 * 4869.174218</f>
        <v>340.84219526000004</v>
      </c>
      <c r="M265" s="76">
        <f>F265 * G265 * 2713.33116</f>
        <v>189.93318120000004</v>
      </c>
      <c r="N265" s="77">
        <f>SUM(H265:M265)</f>
        <v>3776.8915217600002</v>
      </c>
      <c r="O265" s="10">
        <f>N265*1.07*1.09*1.05</f>
        <v>4625.2380109201231</v>
      </c>
      <c r="P265" s="78">
        <f t="shared" ref="P265:P268" si="55">IF($P$9&gt;0,O265/$P$9/12,0)</f>
        <v>2.668858197687372E-2</v>
      </c>
    </row>
    <row r="266" spans="2:16" ht="45" x14ac:dyDescent="0.25">
      <c r="B266" s="29">
        <v>157</v>
      </c>
      <c r="C266" s="34" t="s">
        <v>611</v>
      </c>
      <c r="D266" s="35" t="s">
        <v>612</v>
      </c>
      <c r="E266" s="35" t="s">
        <v>491</v>
      </c>
      <c r="F266" s="74">
        <v>0.04</v>
      </c>
      <c r="G266" s="75">
        <v>1</v>
      </c>
      <c r="H266" s="76">
        <f>F266 * G266 * 14379.725925</f>
        <v>575.18903699999998</v>
      </c>
      <c r="I266" s="76">
        <f>F266 * G266 * 33554.067547</f>
        <v>1342.16270188</v>
      </c>
      <c r="J266" s="76">
        <f>F266 * G266 * 0</f>
        <v>0</v>
      </c>
      <c r="K266" s="76">
        <f>F266 * G266 * 13689.49908</f>
        <v>547.57996319999995</v>
      </c>
      <c r="L266" s="76">
        <f>F266 * G266 * 6470.445718</f>
        <v>258.81782872000002</v>
      </c>
      <c r="M266" s="76">
        <f>F266 * G266 * 2875.945185</f>
        <v>115.03780740000001</v>
      </c>
      <c r="N266" s="77">
        <f>SUM(H266:M266)</f>
        <v>2838.7873381999998</v>
      </c>
      <c r="O266" s="10">
        <f>N266*1.07*1.09*1.05</f>
        <v>3476.4215561697938</v>
      </c>
      <c r="P266" s="78">
        <f t="shared" si="55"/>
        <v>2.0059672922551088E-2</v>
      </c>
    </row>
    <row r="267" spans="2:16" ht="45" x14ac:dyDescent="0.25">
      <c r="B267" s="29">
        <v>158</v>
      </c>
      <c r="C267" s="34" t="s">
        <v>613</v>
      </c>
      <c r="D267" s="35" t="s">
        <v>614</v>
      </c>
      <c r="E267" s="35" t="s">
        <v>491</v>
      </c>
      <c r="F267" s="74">
        <v>0.08</v>
      </c>
      <c r="G267" s="75">
        <v>1</v>
      </c>
      <c r="H267" s="76">
        <f>F267 * G267 * 13566.6558</f>
        <v>1085.3324640000001</v>
      </c>
      <c r="I267" s="76">
        <f>F267 * G267 * 19890.975668</f>
        <v>1591.2780534399999</v>
      </c>
      <c r="J267" s="76">
        <f>F267 * G267 * 0</f>
        <v>0</v>
      </c>
      <c r="K267" s="76">
        <f>F267 * G267 * 12915.456322</f>
        <v>1033.23650576</v>
      </c>
      <c r="L267" s="76">
        <f>F267 * G267 * 4869.174218</f>
        <v>389.53393744000005</v>
      </c>
      <c r="M267" s="76">
        <f>F267 * G267 * 2713.33116</f>
        <v>217.06649280000002</v>
      </c>
      <c r="N267" s="77">
        <f>SUM(H267:M267)</f>
        <v>4316.4474534399997</v>
      </c>
      <c r="O267" s="10">
        <f>N267*1.07*1.09*1.05</f>
        <v>5285.9862981944261</v>
      </c>
      <c r="P267" s="78">
        <f t="shared" si="55"/>
        <v>3.0501236544998533E-2</v>
      </c>
    </row>
    <row r="268" spans="2:16" ht="45" x14ac:dyDescent="0.25">
      <c r="B268" s="29">
        <v>159</v>
      </c>
      <c r="C268" s="34" t="s">
        <v>615</v>
      </c>
      <c r="D268" s="35" t="s">
        <v>616</v>
      </c>
      <c r="E268" s="35" t="s">
        <v>491</v>
      </c>
      <c r="F268" s="74">
        <v>0.12</v>
      </c>
      <c r="G268" s="75">
        <v>1</v>
      </c>
      <c r="H268" s="76">
        <f>F268 * G268 * 14379.725925</f>
        <v>1725.5671110000001</v>
      </c>
      <c r="I268" s="76">
        <f>F268 * G268 * 33554.067547</f>
        <v>4026.4881056399995</v>
      </c>
      <c r="J268" s="76">
        <f>F268 * G268 * 0</f>
        <v>0</v>
      </c>
      <c r="K268" s="76">
        <f>F268 * G268 * 13689.49908</f>
        <v>1642.7398896</v>
      </c>
      <c r="L268" s="76">
        <f>F268 * G268 * 6470.445718</f>
        <v>776.45348616000001</v>
      </c>
      <c r="M268" s="76">
        <f>F268 * G268 * 2875.945185</f>
        <v>345.1134222</v>
      </c>
      <c r="N268" s="77">
        <f>SUM(H268:M268)</f>
        <v>8516.3620145999994</v>
      </c>
      <c r="O268" s="10">
        <f>N268*1.07*1.09*1.05</f>
        <v>10429.26466850938</v>
      </c>
      <c r="P268" s="78">
        <f t="shared" si="55"/>
        <v>6.0179018767653254E-2</v>
      </c>
    </row>
    <row r="269" spans="2:16" x14ac:dyDescent="0.25">
      <c r="B269" s="79"/>
      <c r="C269" s="80" t="s">
        <v>617</v>
      </c>
      <c r="D269" s="103" t="s">
        <v>618</v>
      </c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</row>
    <row r="270" spans="2:16" ht="45" x14ac:dyDescent="0.25">
      <c r="B270" s="29">
        <v>160</v>
      </c>
      <c r="C270" s="34" t="s">
        <v>619</v>
      </c>
      <c r="D270" s="35" t="s">
        <v>620</v>
      </c>
      <c r="E270" s="35" t="s">
        <v>491</v>
      </c>
      <c r="F270" s="74">
        <v>0.05</v>
      </c>
      <c r="G270" s="75">
        <v>1</v>
      </c>
      <c r="H270" s="76">
        <f>F270 * G270 * 51293.1096</f>
        <v>2564.6554800000004</v>
      </c>
      <c r="I270" s="76">
        <f>F270 * G270 * 138373.176918</f>
        <v>6918.6588459000013</v>
      </c>
      <c r="J270" s="76">
        <f>F270 * G270 * 0</f>
        <v>0</v>
      </c>
      <c r="K270" s="76">
        <f>F270 * G270 * 48831.040339</f>
        <v>2441.5520169500001</v>
      </c>
      <c r="L270" s="76">
        <f>F270 * G270 * 25042.21932</f>
        <v>1252.1109660000002</v>
      </c>
      <c r="M270" s="76">
        <f>F270 * G270 * 10258.62192</f>
        <v>512.93109600000003</v>
      </c>
      <c r="N270" s="77">
        <f>SUM(H270:M270)</f>
        <v>13689.908404850003</v>
      </c>
      <c r="O270" s="10">
        <f>N270*1.07*1.09*1.05</f>
        <v>16764.867181205387</v>
      </c>
      <c r="P270" s="78">
        <f t="shared" ref="P270:P271" si="56">IF($P$9&gt;0,O270/$P$9/12,0)</f>
        <v>9.6736758419917523E-2</v>
      </c>
    </row>
    <row r="271" spans="2:16" ht="45" x14ac:dyDescent="0.25">
      <c r="B271" s="29">
        <v>161</v>
      </c>
      <c r="C271" s="34" t="s">
        <v>621</v>
      </c>
      <c r="D271" s="35" t="s">
        <v>622</v>
      </c>
      <c r="E271" s="35" t="s">
        <v>491</v>
      </c>
      <c r="F271" s="74">
        <v>0.05</v>
      </c>
      <c r="G271" s="75">
        <v>1</v>
      </c>
      <c r="H271" s="76">
        <f>F271 * G271 * 54243.392625</f>
        <v>2712.1696312500003</v>
      </c>
      <c r="I271" s="76">
        <f>F271 * G271 * 206723.073676</f>
        <v>10336.153683800001</v>
      </c>
      <c r="J271" s="76">
        <f>F271 * G271 * 0</f>
        <v>0</v>
      </c>
      <c r="K271" s="76">
        <f>F271 * G271 * 51639.709779</f>
        <v>2581.9854889500002</v>
      </c>
      <c r="L271" s="76">
        <f>F271 * G271 * 32823.648488</f>
        <v>1641.1824243999999</v>
      </c>
      <c r="M271" s="76">
        <f>F271 * G271 * 10848.678525</f>
        <v>542.43392625000001</v>
      </c>
      <c r="N271" s="77">
        <f>SUM(H271:M271)</f>
        <v>17813.925154650002</v>
      </c>
      <c r="O271" s="10">
        <f>N271*1.07*1.09*1.05</f>
        <v>21815.199953261716</v>
      </c>
      <c r="P271" s="78">
        <f t="shared" si="56"/>
        <v>0.12587822527617201</v>
      </c>
    </row>
    <row r="272" spans="2:16" x14ac:dyDescent="0.25">
      <c r="B272" s="79"/>
      <c r="C272" s="80" t="s">
        <v>623</v>
      </c>
      <c r="D272" s="103" t="s">
        <v>624</v>
      </c>
      <c r="E272" s="103"/>
      <c r="F272" s="103"/>
      <c r="G272" s="103"/>
      <c r="H272" s="103"/>
      <c r="I272" s="103"/>
      <c r="J272" s="103"/>
      <c r="K272" s="103"/>
      <c r="L272" s="103"/>
      <c r="M272" s="103"/>
      <c r="N272" s="103"/>
      <c r="O272" s="103"/>
      <c r="P272" s="103"/>
    </row>
    <row r="273" spans="2:16" x14ac:dyDescent="0.25">
      <c r="B273" s="79"/>
      <c r="C273" s="80" t="s">
        <v>625</v>
      </c>
      <c r="D273" s="104" t="s">
        <v>626</v>
      </c>
      <c r="E273" s="104"/>
      <c r="F273" s="104"/>
      <c r="G273" s="104"/>
      <c r="H273" s="104"/>
      <c r="I273" s="104"/>
      <c r="J273" s="104"/>
      <c r="K273" s="104"/>
      <c r="L273" s="104"/>
      <c r="M273" s="104"/>
      <c r="N273" s="104"/>
      <c r="O273" s="104"/>
      <c r="P273" s="104"/>
    </row>
    <row r="274" spans="2:16" ht="30" x14ac:dyDescent="0.25">
      <c r="B274" s="29">
        <v>162</v>
      </c>
      <c r="C274" s="34" t="s">
        <v>627</v>
      </c>
      <c r="D274" s="35" t="s">
        <v>628</v>
      </c>
      <c r="E274" s="35" t="s">
        <v>629</v>
      </c>
      <c r="F274" s="74">
        <v>0.1</v>
      </c>
      <c r="G274" s="75">
        <v>1</v>
      </c>
      <c r="H274" s="76">
        <f>F274 * G274 * 9312.263</f>
        <v>931.22630000000015</v>
      </c>
      <c r="I274" s="76">
        <f>F274 * G274 * 1542.38468</f>
        <v>154.23846800000001</v>
      </c>
      <c r="J274" s="76">
        <f>F274 * G274 * 0</f>
        <v>0</v>
      </c>
      <c r="K274" s="76">
        <f>F274 * G274 * 8865.274376</f>
        <v>886.52743759999998</v>
      </c>
      <c r="L274" s="76">
        <f>F274 * G274 * 2070.591816</f>
        <v>207.05918160000002</v>
      </c>
      <c r="M274" s="76">
        <f>F274 * G274 * 1862.4526</f>
        <v>186.24526000000003</v>
      </c>
      <c r="N274" s="77">
        <f>SUM(H274:M274)</f>
        <v>2365.2966472000003</v>
      </c>
      <c r="O274" s="10">
        <f>N274*1.07*1.09*1.05</f>
        <v>2896.5777536108294</v>
      </c>
      <c r="P274" s="78">
        <f t="shared" ref="P274:P277" si="57">IF($P$9&gt;0,O274/$P$9/12,0)</f>
        <v>1.6713853999970166E-2</v>
      </c>
    </row>
    <row r="275" spans="2:16" ht="30" x14ac:dyDescent="0.25">
      <c r="B275" s="29">
        <v>163</v>
      </c>
      <c r="C275" s="34" t="s">
        <v>630</v>
      </c>
      <c r="D275" s="35" t="s">
        <v>631</v>
      </c>
      <c r="E275" s="35" t="s">
        <v>632</v>
      </c>
      <c r="F275" s="74">
        <v>0.24</v>
      </c>
      <c r="G275" s="75">
        <v>1</v>
      </c>
      <c r="H275" s="76">
        <f>F275 * G275 * 2044.64905</f>
        <v>490.71577199999996</v>
      </c>
      <c r="I275" s="76">
        <f>F275 * G275 * 732.256258</f>
        <v>175.74150191999999</v>
      </c>
      <c r="J275" s="76">
        <f>F275 * G275 * 0</f>
        <v>0</v>
      </c>
      <c r="K275" s="76">
        <f>F275 * G275 * 1946.505896</f>
        <v>467.16141503999995</v>
      </c>
      <c r="L275" s="76">
        <f>F275 * G275 * 495.958176</f>
        <v>119.02996223999999</v>
      </c>
      <c r="M275" s="76">
        <f>F275 * G275 * 408.92981</f>
        <v>98.143154399999986</v>
      </c>
      <c r="N275" s="77">
        <f>SUM(H275:M275)</f>
        <v>1350.7918055999999</v>
      </c>
      <c r="O275" s="10">
        <f>N275*1.07*1.09*1.05</f>
        <v>1654.199907014844</v>
      </c>
      <c r="P275" s="78">
        <f t="shared" si="57"/>
        <v>9.5450763226171582E-3</v>
      </c>
    </row>
    <row r="276" spans="2:16" ht="30" x14ac:dyDescent="0.25">
      <c r="B276" s="29">
        <v>164</v>
      </c>
      <c r="C276" s="34" t="s">
        <v>633</v>
      </c>
      <c r="D276" s="35" t="s">
        <v>634</v>
      </c>
      <c r="E276" s="35" t="s">
        <v>635</v>
      </c>
      <c r="F276" s="74">
        <v>0.05</v>
      </c>
      <c r="G276" s="75">
        <v>1</v>
      </c>
      <c r="H276" s="76">
        <f>F276 * G276 * 6275.6555</f>
        <v>313.78277500000002</v>
      </c>
      <c r="I276" s="76">
        <f>F276 * G276 * 110947.389984</f>
        <v>5547.3694992000001</v>
      </c>
      <c r="J276" s="76">
        <f>F276 * G276 * 0</f>
        <v>0</v>
      </c>
      <c r="K276" s="76">
        <f>F276 * G276 * 5974.424036</f>
        <v>298.72120180000002</v>
      </c>
      <c r="L276" s="76">
        <f>F276 * G276 * 12935.7343</f>
        <v>646.78671500000007</v>
      </c>
      <c r="M276" s="76">
        <f>F276 * G276 * 1255.1311</f>
        <v>62.756555000000006</v>
      </c>
      <c r="N276" s="77">
        <f>SUM(H276:M276)</f>
        <v>6869.4167459999999</v>
      </c>
      <c r="O276" s="10">
        <f>N276*1.07*1.09*1.05</f>
        <v>8412.3907884027922</v>
      </c>
      <c r="P276" s="78">
        <f t="shared" si="57"/>
        <v>4.8541238450369249E-2</v>
      </c>
    </row>
    <row r="277" spans="2:16" ht="30" x14ac:dyDescent="0.25">
      <c r="B277" s="29">
        <v>165</v>
      </c>
      <c r="C277" s="34" t="s">
        <v>636</v>
      </c>
      <c r="D277" s="35" t="s">
        <v>637</v>
      </c>
      <c r="E277" s="35" t="s">
        <v>638</v>
      </c>
      <c r="F277" s="74">
        <v>0.03</v>
      </c>
      <c r="G277" s="75">
        <v>1</v>
      </c>
      <c r="H277" s="76">
        <f>F277 * G277 * 10729.3465</f>
        <v>321.88039499999996</v>
      </c>
      <c r="I277" s="76">
        <f>F277 * G277 * 3247.407215</f>
        <v>97.422216450000008</v>
      </c>
      <c r="J277" s="76">
        <f>F277 * G277 * 0</f>
        <v>0</v>
      </c>
      <c r="K277" s="76">
        <f>F277 * G277 * 10214.3378679999</f>
        <v>306.43013603999702</v>
      </c>
      <c r="L277" s="76">
        <f>F277 * G277 * 2540.064616</f>
        <v>76.201938479999995</v>
      </c>
      <c r="M277" s="76">
        <f>F277 * G277 * 2145.8693</f>
        <v>64.37607899999999</v>
      </c>
      <c r="N277" s="77">
        <f>SUM(H277:M277)</f>
        <v>866.31076496999697</v>
      </c>
      <c r="O277" s="10">
        <f>N277*1.07*1.09*1.05</f>
        <v>1060.897157443733</v>
      </c>
      <c r="P277" s="78">
        <f t="shared" si="57"/>
        <v>6.1215964861961241E-3</v>
      </c>
    </row>
    <row r="278" spans="2:16" x14ac:dyDescent="0.25">
      <c r="B278" s="79"/>
      <c r="C278" s="80" t="s">
        <v>639</v>
      </c>
      <c r="D278" s="103" t="s">
        <v>640</v>
      </c>
      <c r="E278" s="103"/>
      <c r="F278" s="103"/>
      <c r="G278" s="103"/>
      <c r="H278" s="103"/>
      <c r="I278" s="103"/>
      <c r="J278" s="103"/>
      <c r="K278" s="103"/>
      <c r="L278" s="103"/>
      <c r="M278" s="103"/>
      <c r="N278" s="103"/>
      <c r="O278" s="103"/>
      <c r="P278" s="103"/>
    </row>
    <row r="279" spans="2:16" ht="45" x14ac:dyDescent="0.25">
      <c r="B279" s="29">
        <v>166</v>
      </c>
      <c r="C279" s="34" t="s">
        <v>641</v>
      </c>
      <c r="D279" s="35" t="s">
        <v>642</v>
      </c>
      <c r="E279" s="35" t="s">
        <v>643</v>
      </c>
      <c r="F279" s="74">
        <v>4.59</v>
      </c>
      <c r="G279" s="75">
        <v>1</v>
      </c>
      <c r="H279" s="76">
        <f>F279 * G279 * 66.805365</f>
        <v>306.63662534999997</v>
      </c>
      <c r="I279" s="76">
        <f>F279 * G279 * 0</f>
        <v>0</v>
      </c>
      <c r="J279" s="76">
        <f>F279 * G279 * 0</f>
        <v>0</v>
      </c>
      <c r="K279" s="76">
        <f>F279 * G279 * 63.598707</f>
        <v>291.91806513</v>
      </c>
      <c r="L279" s="76">
        <f>F279 * G279 * 13.692427</f>
        <v>62.848239929999998</v>
      </c>
      <c r="M279" s="76">
        <f>F279 * G279 * 13.361073</f>
        <v>61.327325069999993</v>
      </c>
      <c r="N279" s="77">
        <f>SUM(H279:M279)</f>
        <v>722.73025547999998</v>
      </c>
      <c r="O279" s="10">
        <f>N279*1.07*1.09*1.05</f>
        <v>885.06631181464036</v>
      </c>
      <c r="P279" s="78">
        <f t="shared" ref="P279:P280" si="58">IF($P$9&gt;0,O279/$P$9/12,0)</f>
        <v>5.1070160631874646E-3</v>
      </c>
    </row>
    <row r="280" spans="2:16" ht="45" x14ac:dyDescent="0.25">
      <c r="B280" s="29">
        <v>167</v>
      </c>
      <c r="C280" s="34" t="s">
        <v>644</v>
      </c>
      <c r="D280" s="35" t="s">
        <v>645</v>
      </c>
      <c r="E280" s="35" t="s">
        <v>643</v>
      </c>
      <c r="F280" s="74">
        <v>4.83</v>
      </c>
      <c r="G280" s="75">
        <v>1</v>
      </c>
      <c r="H280" s="76">
        <f>F280 * G280 * 105.26906</f>
        <v>508.44955979999997</v>
      </c>
      <c r="I280" s="76">
        <f>F280 * G280 * 0</f>
        <v>0</v>
      </c>
      <c r="J280" s="76">
        <f>F280 * G280 * 0</f>
        <v>0</v>
      </c>
      <c r="K280" s="76">
        <f>F280 * G280 * 100.216145</f>
        <v>484.04398034999997</v>
      </c>
      <c r="L280" s="76">
        <f>F280 * G280 * 21.575947</f>
        <v>104.21182401</v>
      </c>
      <c r="M280" s="76">
        <f>F280 * G280 * 21.053812</f>
        <v>101.68991196</v>
      </c>
      <c r="N280" s="77">
        <f>SUM(H280:M280)</f>
        <v>1198.3952761200001</v>
      </c>
      <c r="O280" s="10">
        <f>N280*1.07*1.09*1.05</f>
        <v>1467.5728310656941</v>
      </c>
      <c r="P280" s="78">
        <f t="shared" si="58"/>
        <v>8.46819941297197E-3</v>
      </c>
    </row>
    <row r="281" spans="2:16" x14ac:dyDescent="0.25">
      <c r="B281" s="79"/>
      <c r="C281" s="80" t="s">
        <v>646</v>
      </c>
      <c r="D281" s="103" t="s">
        <v>647</v>
      </c>
      <c r="E281" s="103"/>
      <c r="F281" s="103"/>
      <c r="G281" s="103"/>
      <c r="H281" s="103"/>
      <c r="I281" s="103"/>
      <c r="J281" s="103"/>
      <c r="K281" s="103"/>
      <c r="L281" s="103"/>
      <c r="M281" s="103"/>
      <c r="N281" s="103"/>
      <c r="O281" s="103"/>
      <c r="P281" s="103"/>
    </row>
    <row r="282" spans="2:16" ht="45" x14ac:dyDescent="0.25">
      <c r="B282" s="29">
        <v>168</v>
      </c>
      <c r="C282" s="34" t="s">
        <v>648</v>
      </c>
      <c r="D282" s="35" t="s">
        <v>649</v>
      </c>
      <c r="E282" s="35" t="s">
        <v>114</v>
      </c>
      <c r="F282" s="74">
        <v>0.08</v>
      </c>
      <c r="G282" s="75">
        <v>1</v>
      </c>
      <c r="H282" s="76">
        <f>F282 * G282 * 15376.421476</f>
        <v>1230.1137180799999</v>
      </c>
      <c r="I282" s="76">
        <f>F282 * G282 * 3557.504725</f>
        <v>284.60037799999998</v>
      </c>
      <c r="J282" s="76">
        <f>F282 * G282 * 0</f>
        <v>0</v>
      </c>
      <c r="K282" s="76">
        <f>F282 * G282 * 14638.3532449999</f>
        <v>1171.068259599992</v>
      </c>
      <c r="L282" s="76">
        <f>F282 * G282 * 3525.089342</f>
        <v>282.00714736000003</v>
      </c>
      <c r="M282" s="76">
        <f>F282 * G282 * 3075.284295</f>
        <v>246.02274360000001</v>
      </c>
      <c r="N282" s="77">
        <f>SUM(H282:M282)</f>
        <v>3213.8122466399918</v>
      </c>
      <c r="O282" s="10">
        <f>N282*1.07*1.09*1.05</f>
        <v>3935.6826844190346</v>
      </c>
      <c r="P282" s="78">
        <f>IF($P$9&gt;0,O282/$P$9/12,0)</f>
        <v>2.2709704821695025E-2</v>
      </c>
    </row>
    <row r="283" spans="2:16" x14ac:dyDescent="0.25">
      <c r="B283" s="79"/>
      <c r="C283" s="80" t="s">
        <v>650</v>
      </c>
      <c r="D283" s="103" t="s">
        <v>651</v>
      </c>
      <c r="E283" s="103"/>
      <c r="F283" s="103"/>
      <c r="G283" s="103"/>
      <c r="H283" s="103"/>
      <c r="I283" s="103"/>
      <c r="J283" s="103"/>
      <c r="K283" s="103"/>
      <c r="L283" s="103"/>
      <c r="M283" s="103"/>
      <c r="N283" s="103"/>
      <c r="O283" s="103"/>
      <c r="P283" s="103"/>
    </row>
    <row r="284" spans="2:16" ht="45" x14ac:dyDescent="0.25">
      <c r="B284" s="29">
        <v>169</v>
      </c>
      <c r="C284" s="34" t="s">
        <v>652</v>
      </c>
      <c r="D284" s="35" t="s">
        <v>653</v>
      </c>
      <c r="E284" s="35" t="s">
        <v>654</v>
      </c>
      <c r="F284" s="74">
        <v>0.05</v>
      </c>
      <c r="G284" s="75">
        <v>1</v>
      </c>
      <c r="H284" s="76">
        <f>F284 * G284 * 13764.2656</f>
        <v>688.21328000000005</v>
      </c>
      <c r="I284" s="76">
        <f>F284 * G284 * 0</f>
        <v>0</v>
      </c>
      <c r="J284" s="76">
        <f>F284 * G284 * 0</f>
        <v>0</v>
      </c>
      <c r="K284" s="76">
        <f>F284 * G284 * 13103.5808509999</f>
        <v>655.17904254999507</v>
      </c>
      <c r="L284" s="76">
        <f>F284 * G284 * 2821.123877</f>
        <v>141.05619385</v>
      </c>
      <c r="M284" s="76">
        <f>F284 * G284 * 2752.85312</f>
        <v>137.64265600000002</v>
      </c>
      <c r="N284" s="77">
        <f>SUM(H284:M284)</f>
        <v>1622.0911723999952</v>
      </c>
      <c r="O284" s="10">
        <f>N284*1.07*1.09*1.05</f>
        <v>1986.4371810886205</v>
      </c>
      <c r="P284" s="78">
        <f t="shared" ref="P284:P285" si="59">IF($P$9&gt;0,O284/$P$9/12,0)</f>
        <v>1.1462154255462197E-2</v>
      </c>
    </row>
    <row r="285" spans="2:16" ht="45" x14ac:dyDescent="0.25">
      <c r="B285" s="29">
        <v>170</v>
      </c>
      <c r="C285" s="34" t="s">
        <v>655</v>
      </c>
      <c r="D285" s="35" t="s">
        <v>656</v>
      </c>
      <c r="E285" s="35" t="s">
        <v>654</v>
      </c>
      <c r="F285" s="74">
        <v>0.04</v>
      </c>
      <c r="G285" s="75">
        <v>1</v>
      </c>
      <c r="H285" s="76">
        <f>F285 * G285 * 17065.2886</f>
        <v>682.61154399999998</v>
      </c>
      <c r="I285" s="76">
        <f>F285 * G285 * 0</f>
        <v>0</v>
      </c>
      <c r="J285" s="76">
        <f>F285 * G285 * 0</f>
        <v>0</v>
      </c>
      <c r="K285" s="76">
        <f>F285 * G285 * 16246.154747</f>
        <v>649.84618988</v>
      </c>
      <c r="L285" s="76">
        <f>F285 * G285 * 3497.701552</f>
        <v>139.90806208000001</v>
      </c>
      <c r="M285" s="76">
        <f>F285 * G285 * 3413.05772</f>
        <v>136.52230879999999</v>
      </c>
      <c r="N285" s="77">
        <f>SUM(H285:M285)</f>
        <v>1608.88810476</v>
      </c>
      <c r="O285" s="10">
        <f>N285*1.07*1.09*1.05</f>
        <v>1970.2685064106679</v>
      </c>
      <c r="P285" s="78">
        <f t="shared" si="59"/>
        <v>1.136885765135639E-2</v>
      </c>
    </row>
    <row r="286" spans="2:16" ht="15" customHeight="1" x14ac:dyDescent="0.25">
      <c r="B286" s="19"/>
      <c r="C286" s="20" t="s">
        <v>327</v>
      </c>
      <c r="D286" s="102" t="s">
        <v>328</v>
      </c>
      <c r="E286" s="102"/>
      <c r="F286" s="102"/>
      <c r="G286" s="102"/>
      <c r="H286" s="102"/>
      <c r="I286" s="102"/>
      <c r="J286" s="102"/>
      <c r="K286" s="102"/>
      <c r="L286" s="102"/>
      <c r="M286" s="102"/>
      <c r="N286" s="102"/>
      <c r="O286" s="102"/>
      <c r="P286" s="102"/>
    </row>
    <row r="287" spans="2:16" x14ac:dyDescent="0.25">
      <c r="B287" s="79"/>
      <c r="C287" s="80" t="s">
        <v>657</v>
      </c>
      <c r="D287" s="103" t="s">
        <v>658</v>
      </c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</row>
    <row r="288" spans="2:16" ht="30" x14ac:dyDescent="0.25">
      <c r="B288" s="29">
        <v>171</v>
      </c>
      <c r="C288" s="34" t="s">
        <v>659</v>
      </c>
      <c r="D288" s="35" t="s">
        <v>660</v>
      </c>
      <c r="E288" s="35" t="s">
        <v>661</v>
      </c>
      <c r="F288" s="74">
        <v>2.7</v>
      </c>
      <c r="G288" s="75">
        <v>1</v>
      </c>
      <c r="H288" s="76">
        <f>F288 * G288 * 13682.472</f>
        <v>36942.674400000004</v>
      </c>
      <c r="I288" s="76">
        <f>F288 * G288 * 0</f>
        <v>0</v>
      </c>
      <c r="J288" s="76">
        <f>F288 * G288 * 0</f>
        <v>0</v>
      </c>
      <c r="K288" s="76">
        <f>F288 * G288 * 13025.713344</f>
        <v>35169.4260288</v>
      </c>
      <c r="L288" s="76">
        <f>F288 * G288 * 2804.359461</f>
        <v>7571.7705447000008</v>
      </c>
      <c r="M288" s="76">
        <f>F288 * G288 * 2736.4944</f>
        <v>7388.5348800000002</v>
      </c>
      <c r="N288" s="77">
        <f>SUM(H288:M288)</f>
        <v>87072.405853500022</v>
      </c>
      <c r="O288" s="10">
        <f>N288*1.07*1.09*1.05</f>
        <v>106630.17429428396</v>
      </c>
      <c r="P288" s="78">
        <f t="shared" ref="P288:P291" si="60">IF($P$9&gt;0,O288/$P$9/12,0)</f>
        <v>0.61527820647119491</v>
      </c>
    </row>
    <row r="289" spans="2:16" x14ac:dyDescent="0.25">
      <c r="B289" s="29">
        <v>172</v>
      </c>
      <c r="C289" s="34" t="s">
        <v>662</v>
      </c>
      <c r="D289" s="35" t="s">
        <v>663</v>
      </c>
      <c r="E289" s="35" t="s">
        <v>664</v>
      </c>
      <c r="F289" s="74">
        <v>659.42</v>
      </c>
      <c r="G289" s="75">
        <v>1</v>
      </c>
      <c r="H289" s="76">
        <f>F289 * G289 * 198.395844</f>
        <v>130826.18745047999</v>
      </c>
      <c r="I289" s="76">
        <f>F289 * G289 * 0</f>
        <v>0</v>
      </c>
      <c r="J289" s="76">
        <f>F289 * G289 * 0</f>
        <v>0</v>
      </c>
      <c r="K289" s="76">
        <f>F289 * G289 * 188.872844</f>
        <v>124546.53079047998</v>
      </c>
      <c r="L289" s="76">
        <f>F289 * G289 * 40.663212</f>
        <v>26814.135257039998</v>
      </c>
      <c r="M289" s="76">
        <f>F289 * G289 * 39.679169</f>
        <v>26165.237621979999</v>
      </c>
      <c r="N289" s="77">
        <f>SUM(H289:M289)</f>
        <v>308352.09111997997</v>
      </c>
      <c r="O289" s="10">
        <f>N289*1.07*1.09*1.05</f>
        <v>377612.59606689436</v>
      </c>
      <c r="P289" s="78">
        <f t="shared" si="60"/>
        <v>2.1789029454997828</v>
      </c>
    </row>
    <row r="290" spans="2:16" ht="45" x14ac:dyDescent="0.25">
      <c r="B290" s="29">
        <v>173</v>
      </c>
      <c r="C290" s="34" t="s">
        <v>665</v>
      </c>
      <c r="D290" s="35" t="s">
        <v>666</v>
      </c>
      <c r="E290" s="35" t="s">
        <v>667</v>
      </c>
      <c r="F290" s="74">
        <v>0.53</v>
      </c>
      <c r="G290" s="75">
        <v>1</v>
      </c>
      <c r="H290" s="76">
        <f>F290 * G290 * 7130.5956</f>
        <v>3779.2156679999998</v>
      </c>
      <c r="I290" s="76">
        <f>F290 * G290 * 732.256258</f>
        <v>388.09581674000003</v>
      </c>
      <c r="J290" s="76">
        <f>F290 * G290 * 0</f>
        <v>0</v>
      </c>
      <c r="K290" s="76">
        <f>F290 * G290 * 6788.32701099999</f>
        <v>3597.8133158299952</v>
      </c>
      <c r="L290" s="76">
        <f>F290 * G290 * 1538.373781</f>
        <v>815.3381039300001</v>
      </c>
      <c r="M290" s="76">
        <f>F290 * G290 * 1426.11912</f>
        <v>755.8431336000001</v>
      </c>
      <c r="N290" s="77">
        <f>SUM(H290:M290)</f>
        <v>9336.3060380999941</v>
      </c>
      <c r="O290" s="10">
        <f>N290*1.07*1.09*1.05</f>
        <v>11433.380418847826</v>
      </c>
      <c r="P290" s="78">
        <f t="shared" si="60"/>
        <v>6.5972974766005554E-2</v>
      </c>
    </row>
    <row r="291" spans="2:16" ht="30" x14ac:dyDescent="0.25">
      <c r="B291" s="29">
        <v>174</v>
      </c>
      <c r="C291" s="34" t="s">
        <v>668</v>
      </c>
      <c r="D291" s="35" t="s">
        <v>669</v>
      </c>
      <c r="E291" s="35" t="s">
        <v>348</v>
      </c>
      <c r="F291" s="74">
        <v>14.442</v>
      </c>
      <c r="G291" s="75">
        <v>1</v>
      </c>
      <c r="H291" s="76">
        <f>F291 * G291 * 850.2501</f>
        <v>12279.311944200001</v>
      </c>
      <c r="I291" s="76">
        <f>F291 * G291 * 0</f>
        <v>0</v>
      </c>
      <c r="J291" s="76">
        <f>F291 * G291 * 0</f>
        <v>0</v>
      </c>
      <c r="K291" s="76">
        <f>F291 * G291 * 809.438095</f>
        <v>11689.90496799</v>
      </c>
      <c r="L291" s="76">
        <f>F291 * G291 * 174.267261</f>
        <v>2516.767783362</v>
      </c>
      <c r="M291" s="76">
        <f>F291 * G291 * 170.05002</f>
        <v>2455.8623888399998</v>
      </c>
      <c r="N291" s="77">
        <f>SUM(H291:M291)</f>
        <v>28941.847084392</v>
      </c>
      <c r="O291" s="10">
        <f>N291*1.07*1.09*1.05</f>
        <v>35442.620067252719</v>
      </c>
      <c r="P291" s="78">
        <f t="shared" si="60"/>
        <v>0.20451126383264506</v>
      </c>
    </row>
    <row r="292" spans="2:16" x14ac:dyDescent="0.25">
      <c r="B292" s="79"/>
      <c r="C292" s="80" t="s">
        <v>670</v>
      </c>
      <c r="D292" s="103" t="s">
        <v>671</v>
      </c>
      <c r="E292" s="103"/>
      <c r="F292" s="103"/>
      <c r="G292" s="103"/>
      <c r="H292" s="103"/>
      <c r="I292" s="103"/>
      <c r="J292" s="103"/>
      <c r="K292" s="103"/>
      <c r="L292" s="103"/>
      <c r="M292" s="103"/>
      <c r="N292" s="103"/>
      <c r="O292" s="103"/>
      <c r="P292" s="103"/>
    </row>
    <row r="293" spans="2:16" x14ac:dyDescent="0.25">
      <c r="B293" s="79"/>
      <c r="C293" s="80" t="s">
        <v>672</v>
      </c>
      <c r="D293" s="104" t="s">
        <v>673</v>
      </c>
      <c r="E293" s="104"/>
      <c r="F293" s="104"/>
      <c r="G293" s="104"/>
      <c r="H293" s="104"/>
      <c r="I293" s="104"/>
      <c r="J293" s="104"/>
      <c r="K293" s="104"/>
      <c r="L293" s="104"/>
      <c r="M293" s="104"/>
      <c r="N293" s="104"/>
      <c r="O293" s="104"/>
      <c r="P293" s="104"/>
    </row>
    <row r="294" spans="2:16" ht="45" x14ac:dyDescent="0.25">
      <c r="B294" s="29">
        <v>175</v>
      </c>
      <c r="C294" s="34" t="s">
        <v>674</v>
      </c>
      <c r="D294" s="35" t="s">
        <v>675</v>
      </c>
      <c r="E294" s="35" t="s">
        <v>676</v>
      </c>
      <c r="F294" s="74">
        <v>2</v>
      </c>
      <c r="G294" s="75">
        <v>1</v>
      </c>
      <c r="H294" s="76">
        <f>F294 * G294 * 22.80412</f>
        <v>45.608240000000002</v>
      </c>
      <c r="I294" s="76">
        <f t="shared" ref="I294:I301" si="61">F294 * G294 * 0</f>
        <v>0</v>
      </c>
      <c r="J294" s="76">
        <f t="shared" ref="J294:J301" si="62">F294 * G294 * 0</f>
        <v>0</v>
      </c>
      <c r="K294" s="76">
        <f>F294 * G294 * 21.709522</f>
        <v>43.419044</v>
      </c>
      <c r="L294" s="76">
        <f>F294 * G294 * 4.673932</f>
        <v>9.3478639999999995</v>
      </c>
      <c r="M294" s="76">
        <f>F294 * G294 * 4.560824</f>
        <v>9.1216480000000004</v>
      </c>
      <c r="N294" s="77">
        <f t="shared" ref="N294:N301" si="63">SUM(H294:M294)</f>
        <v>107.49679600000002</v>
      </c>
      <c r="O294" s="10">
        <f t="shared" ref="O294:O301" si="64">N294*1.07*1.09*1.05</f>
        <v>131.64218883354005</v>
      </c>
      <c r="P294" s="78">
        <f t="shared" ref="P294:P301" si="65">IF($P$9&gt;0,O294/$P$9/12,0)</f>
        <v>7.5960271449903086E-4</v>
      </c>
    </row>
    <row r="295" spans="2:16" ht="30" x14ac:dyDescent="0.25">
      <c r="B295" s="29">
        <v>176</v>
      </c>
      <c r="C295" s="34" t="s">
        <v>677</v>
      </c>
      <c r="D295" s="35" t="s">
        <v>678</v>
      </c>
      <c r="E295" s="35" t="s">
        <v>676</v>
      </c>
      <c r="F295" s="74">
        <v>270</v>
      </c>
      <c r="G295" s="75">
        <v>4</v>
      </c>
      <c r="H295" s="76">
        <f>F295 * G295 * 20.24405</f>
        <v>21863.574000000001</v>
      </c>
      <c r="I295" s="76">
        <f t="shared" si="61"/>
        <v>0</v>
      </c>
      <c r="J295" s="76">
        <f t="shared" si="62"/>
        <v>0</v>
      </c>
      <c r="K295" s="76">
        <f>F295 * G295 * 19.272336</f>
        <v>20814.122879999999</v>
      </c>
      <c r="L295" s="76">
        <f>F295 * G295 * 4.149221</f>
        <v>4481.1586799999995</v>
      </c>
      <c r="M295" s="76">
        <f>F295 * G295 * 4.04881</f>
        <v>4372.7147999999997</v>
      </c>
      <c r="N295" s="77">
        <f t="shared" si="63"/>
        <v>51531.570360000005</v>
      </c>
      <c r="O295" s="10">
        <f t="shared" si="64"/>
        <v>63106.334036411419</v>
      </c>
      <c r="P295" s="78">
        <f t="shared" si="65"/>
        <v>0.36413662717774214</v>
      </c>
    </row>
    <row r="296" spans="2:16" ht="45" x14ac:dyDescent="0.25">
      <c r="B296" s="29">
        <v>177</v>
      </c>
      <c r="C296" s="34" t="s">
        <v>679</v>
      </c>
      <c r="D296" s="35" t="s">
        <v>680</v>
      </c>
      <c r="E296" s="35" t="s">
        <v>676</v>
      </c>
      <c r="F296" s="74">
        <v>2</v>
      </c>
      <c r="G296" s="75">
        <v>1</v>
      </c>
      <c r="H296" s="76">
        <f>F296 * G296 * 60.73215</f>
        <v>121.46429999999999</v>
      </c>
      <c r="I296" s="76">
        <f t="shared" si="61"/>
        <v>0</v>
      </c>
      <c r="J296" s="76">
        <f t="shared" si="62"/>
        <v>0</v>
      </c>
      <c r="K296" s="76">
        <f>F296 * G296 * 57.817006</f>
        <v>115.634012</v>
      </c>
      <c r="L296" s="76">
        <f>F296 * G296 * 12.447662</f>
        <v>24.895323999999999</v>
      </c>
      <c r="M296" s="76">
        <f>F296 * G296 * 12.14643</f>
        <v>24.292860000000001</v>
      </c>
      <c r="N296" s="77">
        <f t="shared" si="63"/>
        <v>286.286496</v>
      </c>
      <c r="O296" s="10">
        <f t="shared" si="64"/>
        <v>350.59073729904003</v>
      </c>
      <c r="P296" s="78">
        <f t="shared" si="65"/>
        <v>2.0229812197008726E-3</v>
      </c>
    </row>
    <row r="297" spans="2:16" ht="45" x14ac:dyDescent="0.25">
      <c r="B297" s="29">
        <v>178</v>
      </c>
      <c r="C297" s="34" t="s">
        <v>681</v>
      </c>
      <c r="D297" s="35" t="s">
        <v>682</v>
      </c>
      <c r="E297" s="35" t="s">
        <v>683</v>
      </c>
      <c r="F297" s="74">
        <v>2</v>
      </c>
      <c r="G297" s="75">
        <v>1</v>
      </c>
      <c r="H297" s="76">
        <f>F297 * G297 * 120.861836</f>
        <v>241.72367199999999</v>
      </c>
      <c r="I297" s="76">
        <f t="shared" si="61"/>
        <v>0</v>
      </c>
      <c r="J297" s="76">
        <f t="shared" si="62"/>
        <v>0</v>
      </c>
      <c r="K297" s="76">
        <f>F297 * G297 * 115.060466999999</f>
        <v>230.12093399999799</v>
      </c>
      <c r="L297" s="76">
        <f>F297 * G297 * 24.771842</f>
        <v>49.543683999999999</v>
      </c>
      <c r="M297" s="76">
        <f>F297 * G297 * 24.172367</f>
        <v>48.344734000000003</v>
      </c>
      <c r="N297" s="77">
        <f t="shared" si="63"/>
        <v>569.73302399999795</v>
      </c>
      <c r="O297" s="10">
        <f t="shared" si="64"/>
        <v>697.70360718575762</v>
      </c>
      <c r="P297" s="78">
        <f t="shared" si="65"/>
        <v>4.0258944235895171E-3</v>
      </c>
    </row>
    <row r="298" spans="2:16" ht="30" x14ac:dyDescent="0.25">
      <c r="B298" s="29">
        <v>179</v>
      </c>
      <c r="C298" s="34" t="s">
        <v>684</v>
      </c>
      <c r="D298" s="35" t="s">
        <v>685</v>
      </c>
      <c r="E298" s="35" t="s">
        <v>683</v>
      </c>
      <c r="F298" s="74">
        <v>2</v>
      </c>
      <c r="G298" s="75">
        <v>1</v>
      </c>
      <c r="H298" s="76">
        <f>F298 * G298 * 228.0412</f>
        <v>456.08240000000001</v>
      </c>
      <c r="I298" s="76">
        <f t="shared" si="61"/>
        <v>0</v>
      </c>
      <c r="J298" s="76">
        <f t="shared" si="62"/>
        <v>0</v>
      </c>
      <c r="K298" s="76">
        <f>F298 * G298 * 217.095221999999</f>
        <v>434.19044399999802</v>
      </c>
      <c r="L298" s="76">
        <f>F298 * G298 * 46.7393239999999</f>
        <v>93.478647999999794</v>
      </c>
      <c r="M298" s="76">
        <f>F298 * G298 * 45.60824</f>
        <v>91.216480000000004</v>
      </c>
      <c r="N298" s="77">
        <f t="shared" si="63"/>
        <v>1074.9679719999979</v>
      </c>
      <c r="O298" s="10">
        <f t="shared" si="64"/>
        <v>1316.4219030307777</v>
      </c>
      <c r="P298" s="78">
        <f t="shared" si="65"/>
        <v>7.5960272297856809E-3</v>
      </c>
    </row>
    <row r="299" spans="2:16" ht="30" x14ac:dyDescent="0.25">
      <c r="B299" s="29">
        <v>180</v>
      </c>
      <c r="C299" s="34" t="s">
        <v>686</v>
      </c>
      <c r="D299" s="35" t="s">
        <v>687</v>
      </c>
      <c r="E299" s="35" t="s">
        <v>676</v>
      </c>
      <c r="F299" s="74">
        <v>1</v>
      </c>
      <c r="G299" s="75">
        <v>1</v>
      </c>
      <c r="H299" s="76">
        <f>F299 * G299 * 45.60824</f>
        <v>45.608240000000002</v>
      </c>
      <c r="I299" s="76">
        <f t="shared" si="61"/>
        <v>0</v>
      </c>
      <c r="J299" s="76">
        <f t="shared" si="62"/>
        <v>0</v>
      </c>
      <c r="K299" s="76">
        <f>F299 * G299 * 43.419044</f>
        <v>43.419044</v>
      </c>
      <c r="L299" s="76">
        <f>F299 * G299 * 9.347864</f>
        <v>9.3478639999999995</v>
      </c>
      <c r="M299" s="76">
        <f>F299 * G299 * 9.121648</f>
        <v>9.1216480000000004</v>
      </c>
      <c r="N299" s="77">
        <f t="shared" si="63"/>
        <v>107.49679600000002</v>
      </c>
      <c r="O299" s="10">
        <f t="shared" si="64"/>
        <v>131.64218883354005</v>
      </c>
      <c r="P299" s="78">
        <f t="shared" si="65"/>
        <v>7.5960271449903086E-4</v>
      </c>
    </row>
    <row r="300" spans="2:16" ht="30" x14ac:dyDescent="0.25">
      <c r="B300" s="29">
        <v>181</v>
      </c>
      <c r="C300" s="34" t="s">
        <v>688</v>
      </c>
      <c r="D300" s="35" t="s">
        <v>689</v>
      </c>
      <c r="E300" s="35" t="s">
        <v>676</v>
      </c>
      <c r="F300" s="74">
        <v>2</v>
      </c>
      <c r="G300" s="75">
        <v>1</v>
      </c>
      <c r="H300" s="76">
        <f>F300 * G300 * 164.189664</f>
        <v>328.37932799999999</v>
      </c>
      <c r="I300" s="76">
        <f t="shared" si="61"/>
        <v>0</v>
      </c>
      <c r="J300" s="76">
        <f t="shared" si="62"/>
        <v>0</v>
      </c>
      <c r="K300" s="76">
        <f>F300 * G300 * 156.308561</f>
        <v>312.61712199999999</v>
      </c>
      <c r="L300" s="76">
        <f>F300 * G300 * 33.652313</f>
        <v>67.304625999999999</v>
      </c>
      <c r="M300" s="76">
        <f>F300 * G300 * 32.837933</f>
        <v>65.675865999999999</v>
      </c>
      <c r="N300" s="77">
        <f t="shared" si="63"/>
        <v>773.97694200000001</v>
      </c>
      <c r="O300" s="10">
        <f t="shared" si="64"/>
        <v>947.82377282733012</v>
      </c>
      <c r="P300" s="78">
        <f t="shared" si="65"/>
        <v>5.4691396207088711E-3</v>
      </c>
    </row>
    <row r="301" spans="2:16" ht="30" x14ac:dyDescent="0.25">
      <c r="B301" s="29">
        <v>182</v>
      </c>
      <c r="C301" s="34" t="s">
        <v>690</v>
      </c>
      <c r="D301" s="35" t="s">
        <v>691</v>
      </c>
      <c r="E301" s="35" t="s">
        <v>676</v>
      </c>
      <c r="F301" s="74">
        <v>12</v>
      </c>
      <c r="G301" s="75">
        <v>1</v>
      </c>
      <c r="H301" s="76">
        <f>F301 * G301 * 22.80412</f>
        <v>273.64944000000003</v>
      </c>
      <c r="I301" s="76">
        <f t="shared" si="61"/>
        <v>0</v>
      </c>
      <c r="J301" s="76">
        <f t="shared" si="62"/>
        <v>0</v>
      </c>
      <c r="K301" s="76">
        <f>F301 * G301 * 21.709522</f>
        <v>260.51426400000003</v>
      </c>
      <c r="L301" s="76">
        <f>F301 * G301 * 4.673932</f>
        <v>56.087183999999993</v>
      </c>
      <c r="M301" s="76">
        <f>F301 * G301 * 4.560824</f>
        <v>54.729888000000003</v>
      </c>
      <c r="N301" s="77">
        <f t="shared" si="63"/>
        <v>644.98077599999999</v>
      </c>
      <c r="O301" s="10">
        <f t="shared" si="64"/>
        <v>789.85313300124017</v>
      </c>
      <c r="P301" s="78">
        <f t="shared" si="65"/>
        <v>4.5576162869941849E-3</v>
      </c>
    </row>
    <row r="302" spans="2:16" x14ac:dyDescent="0.25">
      <c r="B302" s="79"/>
      <c r="C302" s="80" t="s">
        <v>692</v>
      </c>
      <c r="D302" s="104" t="s">
        <v>693</v>
      </c>
      <c r="E302" s="104"/>
      <c r="F302" s="104"/>
      <c r="G302" s="104"/>
      <c r="H302" s="104"/>
      <c r="I302" s="104"/>
      <c r="J302" s="104"/>
      <c r="K302" s="104"/>
      <c r="L302" s="104"/>
      <c r="M302" s="104"/>
      <c r="N302" s="104"/>
      <c r="O302" s="104"/>
      <c r="P302" s="104"/>
    </row>
    <row r="303" spans="2:16" ht="30" x14ac:dyDescent="0.25">
      <c r="B303" s="29">
        <v>183</v>
      </c>
      <c r="C303" s="34" t="s">
        <v>694</v>
      </c>
      <c r="D303" s="35" t="s">
        <v>695</v>
      </c>
      <c r="E303" s="35" t="s">
        <v>676</v>
      </c>
      <c r="F303" s="74">
        <v>2</v>
      </c>
      <c r="G303" s="75">
        <v>1</v>
      </c>
      <c r="H303" s="76">
        <f>F303 * G303 * 36.486592</f>
        <v>72.973184000000003</v>
      </c>
      <c r="I303" s="76">
        <f t="shared" ref="I303:I310" si="66">F303 * G303 * 0</f>
        <v>0</v>
      </c>
      <c r="J303" s="76">
        <f t="shared" ref="J303:J310" si="67">F303 * G303 * 0</f>
        <v>0</v>
      </c>
      <c r="K303" s="76">
        <f>F303 * G303 * 34.735236</f>
        <v>69.470472000000001</v>
      </c>
      <c r="L303" s="76">
        <f>F303 * G303 * 7.478292</f>
        <v>14.956583999999999</v>
      </c>
      <c r="M303" s="76">
        <f>F303 * G303 * 7.297318</f>
        <v>14.594635999999999</v>
      </c>
      <c r="N303" s="77">
        <f t="shared" ref="N303:N310" si="68">SUM(H303:M303)</f>
        <v>171.994876</v>
      </c>
      <c r="O303" s="10">
        <f t="shared" ref="O303:O310" si="69">N303*1.07*1.09*1.05</f>
        <v>210.62750507274006</v>
      </c>
      <c r="P303" s="78">
        <f t="shared" ref="P303:P310" si="70">IF($P$9&gt;0,O303/$P$9/12,0)</f>
        <v>1.2153643601575271E-3</v>
      </c>
    </row>
    <row r="304" spans="2:16" ht="30" x14ac:dyDescent="0.25">
      <c r="B304" s="29">
        <v>184</v>
      </c>
      <c r="C304" s="34" t="s">
        <v>696</v>
      </c>
      <c r="D304" s="35" t="s">
        <v>697</v>
      </c>
      <c r="E304" s="35" t="s">
        <v>676</v>
      </c>
      <c r="F304" s="74">
        <v>270</v>
      </c>
      <c r="G304" s="75">
        <v>4</v>
      </c>
      <c r="H304" s="76">
        <f>F304 * G304 * 20.24405</f>
        <v>21863.574000000001</v>
      </c>
      <c r="I304" s="76">
        <f t="shared" si="66"/>
        <v>0</v>
      </c>
      <c r="J304" s="76">
        <f t="shared" si="67"/>
        <v>0</v>
      </c>
      <c r="K304" s="76">
        <f>F304 * G304 * 19.272336</f>
        <v>20814.122879999999</v>
      </c>
      <c r="L304" s="76">
        <f>F304 * G304 * 4.149221</f>
        <v>4481.1586799999995</v>
      </c>
      <c r="M304" s="76">
        <f>F304 * G304 * 4.04881</f>
        <v>4372.7147999999997</v>
      </c>
      <c r="N304" s="77">
        <f t="shared" si="68"/>
        <v>51531.570360000005</v>
      </c>
      <c r="O304" s="10">
        <f t="shared" si="69"/>
        <v>63106.334036411419</v>
      </c>
      <c r="P304" s="78">
        <f t="shared" si="70"/>
        <v>0.36413662717774214</v>
      </c>
    </row>
    <row r="305" spans="2:16" ht="45" x14ac:dyDescent="0.25">
      <c r="B305" s="29">
        <v>185</v>
      </c>
      <c r="C305" s="34" t="s">
        <v>698</v>
      </c>
      <c r="D305" s="35" t="s">
        <v>699</v>
      </c>
      <c r="E305" s="35" t="s">
        <v>676</v>
      </c>
      <c r="F305" s="74">
        <v>2</v>
      </c>
      <c r="G305" s="75">
        <v>1</v>
      </c>
      <c r="H305" s="76">
        <f>F305 * G305 * 60.73215</f>
        <v>121.46429999999999</v>
      </c>
      <c r="I305" s="76">
        <f t="shared" si="66"/>
        <v>0</v>
      </c>
      <c r="J305" s="76">
        <f t="shared" si="67"/>
        <v>0</v>
      </c>
      <c r="K305" s="76">
        <f>F305 * G305 * 57.817006</f>
        <v>115.634012</v>
      </c>
      <c r="L305" s="76">
        <f>F305 * G305 * 12.447662</f>
        <v>24.895323999999999</v>
      </c>
      <c r="M305" s="76">
        <f>F305 * G305 * 12.14643</f>
        <v>24.292860000000001</v>
      </c>
      <c r="N305" s="77">
        <f t="shared" si="68"/>
        <v>286.286496</v>
      </c>
      <c r="O305" s="10">
        <f t="shared" si="69"/>
        <v>350.59073729904003</v>
      </c>
      <c r="P305" s="78">
        <f t="shared" si="70"/>
        <v>2.0229812197008726E-3</v>
      </c>
    </row>
    <row r="306" spans="2:16" ht="45" x14ac:dyDescent="0.25">
      <c r="B306" s="29">
        <v>186</v>
      </c>
      <c r="C306" s="34" t="s">
        <v>700</v>
      </c>
      <c r="D306" s="35" t="s">
        <v>701</v>
      </c>
      <c r="E306" s="35" t="s">
        <v>683</v>
      </c>
      <c r="F306" s="74">
        <v>2</v>
      </c>
      <c r="G306" s="75">
        <v>1</v>
      </c>
      <c r="H306" s="76">
        <f>F306 * G306 * 174.09883</f>
        <v>348.19765999999998</v>
      </c>
      <c r="I306" s="76">
        <f t="shared" si="66"/>
        <v>0</v>
      </c>
      <c r="J306" s="76">
        <f t="shared" si="67"/>
        <v>0</v>
      </c>
      <c r="K306" s="76">
        <f>F306 * G306 * 165.742087</f>
        <v>331.484174</v>
      </c>
      <c r="L306" s="76">
        <f>F306 * G306 * 35.6832969999999</f>
        <v>71.366593999999793</v>
      </c>
      <c r="M306" s="76">
        <f>F306 * G306 * 34.819766</f>
        <v>69.639532000000003</v>
      </c>
      <c r="N306" s="77">
        <f t="shared" si="68"/>
        <v>820.68795999999986</v>
      </c>
      <c r="O306" s="10">
        <f t="shared" si="69"/>
        <v>1005.0267861354001</v>
      </c>
      <c r="P306" s="78">
        <f t="shared" si="70"/>
        <v>5.7992128637273238E-3</v>
      </c>
    </row>
    <row r="307" spans="2:16" ht="30" x14ac:dyDescent="0.25">
      <c r="B307" s="29">
        <v>187</v>
      </c>
      <c r="C307" s="34" t="s">
        <v>702</v>
      </c>
      <c r="D307" s="35" t="s">
        <v>703</v>
      </c>
      <c r="E307" s="35" t="s">
        <v>683</v>
      </c>
      <c r="F307" s="74">
        <v>2</v>
      </c>
      <c r="G307" s="75">
        <v>1</v>
      </c>
      <c r="H307" s="76">
        <f>F307 * G307 * 228.0412</f>
        <v>456.08240000000001</v>
      </c>
      <c r="I307" s="76">
        <f t="shared" si="66"/>
        <v>0</v>
      </c>
      <c r="J307" s="76">
        <f t="shared" si="67"/>
        <v>0</v>
      </c>
      <c r="K307" s="76">
        <f>F307 * G307 * 217.095221999999</f>
        <v>434.19044399999802</v>
      </c>
      <c r="L307" s="76">
        <f>F307 * G307 * 46.7393239999999</f>
        <v>93.478647999999794</v>
      </c>
      <c r="M307" s="76">
        <f>F307 * G307 * 45.60824</f>
        <v>91.216480000000004</v>
      </c>
      <c r="N307" s="77">
        <f t="shared" si="68"/>
        <v>1074.9679719999979</v>
      </c>
      <c r="O307" s="10">
        <f t="shared" si="69"/>
        <v>1316.4219030307777</v>
      </c>
      <c r="P307" s="78">
        <f t="shared" si="70"/>
        <v>7.5960272297856809E-3</v>
      </c>
    </row>
    <row r="308" spans="2:16" ht="30" x14ac:dyDescent="0.25">
      <c r="B308" s="29">
        <v>188</v>
      </c>
      <c r="C308" s="34" t="s">
        <v>704</v>
      </c>
      <c r="D308" s="35" t="s">
        <v>705</v>
      </c>
      <c r="E308" s="35" t="s">
        <v>676</v>
      </c>
      <c r="F308" s="74">
        <v>5</v>
      </c>
      <c r="G308" s="75">
        <v>1</v>
      </c>
      <c r="H308" s="76">
        <f>F308 * G308 * 45.60824</f>
        <v>228.0412</v>
      </c>
      <c r="I308" s="76">
        <f t="shared" si="66"/>
        <v>0</v>
      </c>
      <c r="J308" s="76">
        <f t="shared" si="67"/>
        <v>0</v>
      </c>
      <c r="K308" s="76">
        <f>F308 * G308 * 43.419044</f>
        <v>217.09521999999998</v>
      </c>
      <c r="L308" s="76">
        <f>F308 * G308 * 9.347864</f>
        <v>46.739319999999999</v>
      </c>
      <c r="M308" s="76">
        <f>F308 * G308 * 9.121648</f>
        <v>45.608240000000002</v>
      </c>
      <c r="N308" s="77">
        <f t="shared" si="68"/>
        <v>537.48397999999997</v>
      </c>
      <c r="O308" s="10">
        <f t="shared" si="69"/>
        <v>658.21094416769995</v>
      </c>
      <c r="P308" s="78">
        <f t="shared" si="70"/>
        <v>3.7980135724951527E-3</v>
      </c>
    </row>
    <row r="309" spans="2:16" ht="30" x14ac:dyDescent="0.25">
      <c r="B309" s="29">
        <v>189</v>
      </c>
      <c r="C309" s="34" t="s">
        <v>706</v>
      </c>
      <c r="D309" s="35" t="s">
        <v>707</v>
      </c>
      <c r="E309" s="35" t="s">
        <v>676</v>
      </c>
      <c r="F309" s="74">
        <v>3</v>
      </c>
      <c r="G309" s="75">
        <v>1</v>
      </c>
      <c r="H309" s="76">
        <f>F309 * G309 * 164.189664</f>
        <v>492.56899199999998</v>
      </c>
      <c r="I309" s="76">
        <f t="shared" si="66"/>
        <v>0</v>
      </c>
      <c r="J309" s="76">
        <f t="shared" si="67"/>
        <v>0</v>
      </c>
      <c r="K309" s="76">
        <f>F309 * G309 * 156.308561</f>
        <v>468.92568299999999</v>
      </c>
      <c r="L309" s="76">
        <f>F309 * G309 * 33.652313</f>
        <v>100.95693900000001</v>
      </c>
      <c r="M309" s="76">
        <f>F309 * G309 * 32.837933</f>
        <v>98.513799000000006</v>
      </c>
      <c r="N309" s="77">
        <f t="shared" si="68"/>
        <v>1160.9654129999999</v>
      </c>
      <c r="O309" s="10">
        <f t="shared" si="69"/>
        <v>1421.7356592409953</v>
      </c>
      <c r="P309" s="78">
        <f t="shared" si="70"/>
        <v>8.2037094310633066E-3</v>
      </c>
    </row>
    <row r="310" spans="2:16" ht="45" x14ac:dyDescent="0.25">
      <c r="B310" s="29">
        <v>190</v>
      </c>
      <c r="C310" s="34" t="s">
        <v>708</v>
      </c>
      <c r="D310" s="35" t="s">
        <v>709</v>
      </c>
      <c r="E310" s="35" t="s">
        <v>676</v>
      </c>
      <c r="F310" s="74">
        <v>3</v>
      </c>
      <c r="G310" s="75">
        <v>1</v>
      </c>
      <c r="H310" s="76">
        <f>F310 * G310 * 36.486592</f>
        <v>109.45977600000001</v>
      </c>
      <c r="I310" s="76">
        <f t="shared" si="66"/>
        <v>0</v>
      </c>
      <c r="J310" s="76">
        <f t="shared" si="67"/>
        <v>0</v>
      </c>
      <c r="K310" s="76">
        <f>F310 * G310 * 34.735236</f>
        <v>104.205708</v>
      </c>
      <c r="L310" s="76">
        <f>F310 * G310 * 7.478292</f>
        <v>22.434875999999999</v>
      </c>
      <c r="M310" s="76">
        <f>F310 * G310 * 7.297318</f>
        <v>21.891953999999998</v>
      </c>
      <c r="N310" s="77">
        <f t="shared" si="68"/>
        <v>257.99231399999996</v>
      </c>
      <c r="O310" s="10">
        <f t="shared" si="69"/>
        <v>315.94125760911004</v>
      </c>
      <c r="P310" s="78">
        <f t="shared" si="70"/>
        <v>1.8230465402362904E-3</v>
      </c>
    </row>
    <row r="311" spans="2:16" ht="15" customHeight="1" x14ac:dyDescent="0.25">
      <c r="B311" s="19"/>
      <c r="C311" s="20" t="s">
        <v>710</v>
      </c>
      <c r="D311" s="102" t="s">
        <v>711</v>
      </c>
      <c r="E311" s="102"/>
      <c r="F311" s="102"/>
      <c r="G311" s="102"/>
      <c r="H311" s="102"/>
      <c r="I311" s="102"/>
      <c r="J311" s="102"/>
      <c r="K311" s="102"/>
      <c r="L311" s="102"/>
      <c r="M311" s="102"/>
      <c r="N311" s="102"/>
      <c r="O311" s="102"/>
      <c r="P311" s="102"/>
    </row>
    <row r="312" spans="2:16" x14ac:dyDescent="0.25">
      <c r="B312" s="79"/>
      <c r="C312" s="80" t="s">
        <v>712</v>
      </c>
      <c r="D312" s="103" t="s">
        <v>713</v>
      </c>
      <c r="E312" s="103"/>
      <c r="F312" s="103"/>
      <c r="G312" s="103"/>
      <c r="H312" s="103"/>
      <c r="I312" s="103"/>
      <c r="J312" s="103"/>
      <c r="K312" s="103"/>
      <c r="L312" s="103"/>
      <c r="M312" s="103"/>
      <c r="N312" s="103"/>
      <c r="O312" s="103"/>
      <c r="P312" s="103"/>
    </row>
    <row r="313" spans="2:16" ht="105" x14ac:dyDescent="0.25">
      <c r="B313" s="29">
        <v>191</v>
      </c>
      <c r="C313" s="34" t="s">
        <v>714</v>
      </c>
      <c r="D313" s="35" t="s">
        <v>715</v>
      </c>
      <c r="E313" s="35" t="s">
        <v>716</v>
      </c>
      <c r="F313" s="74"/>
      <c r="G313" s="75">
        <v>3</v>
      </c>
      <c r="H313" s="76">
        <f>F313 * G313 * 2325.184884</f>
        <v>0</v>
      </c>
      <c r="I313" s="76">
        <f>F313 * G313 * 0</f>
        <v>0</v>
      </c>
      <c r="J313" s="76">
        <f>F313 * G313 * 0</f>
        <v>0</v>
      </c>
      <c r="K313" s="76">
        <f>F313 * G313 * 2213.57600999999</f>
        <v>0</v>
      </c>
      <c r="L313" s="76">
        <f>F313 * G313 * 476.569893</f>
        <v>0</v>
      </c>
      <c r="M313" s="76">
        <f>F313 * G313 * 465.036977</f>
        <v>0</v>
      </c>
      <c r="N313" s="77">
        <f>SUM(H313:M313)</f>
        <v>0</v>
      </c>
      <c r="O313" s="10">
        <f>N313*1.07*1.09*1.05</f>
        <v>0</v>
      </c>
      <c r="P313" s="78">
        <f t="shared" ref="P313:P314" si="71">IF($P$9&gt;0,O313/$P$9/12,0)</f>
        <v>0</v>
      </c>
    </row>
    <row r="314" spans="2:16" ht="105" x14ac:dyDescent="0.25">
      <c r="B314" s="29">
        <v>192</v>
      </c>
      <c r="C314" s="34" t="s">
        <v>717</v>
      </c>
      <c r="D314" s="35" t="s">
        <v>718</v>
      </c>
      <c r="E314" s="35" t="s">
        <v>716</v>
      </c>
      <c r="F314" s="74">
        <v>1</v>
      </c>
      <c r="G314" s="75">
        <v>3</v>
      </c>
      <c r="H314" s="76">
        <f>F314 * G314 * 2514.443804</f>
        <v>7543.3314119999995</v>
      </c>
      <c r="I314" s="76">
        <f>F314 * G314 * 0</f>
        <v>0</v>
      </c>
      <c r="J314" s="76">
        <f>F314 * G314 * 0</f>
        <v>0</v>
      </c>
      <c r="K314" s="76">
        <f>F314 * G314 * 2393.750502</f>
        <v>7181.2515059999996</v>
      </c>
      <c r="L314" s="76">
        <f>F314 * G314 * 515.360403</f>
        <v>1546.0812089999999</v>
      </c>
      <c r="M314" s="76">
        <f>F314 * G314 * 502.888761</f>
        <v>1508.666283</v>
      </c>
      <c r="N314" s="77">
        <f>SUM(H314:M314)</f>
        <v>17779.330409999999</v>
      </c>
      <c r="O314" s="10">
        <f>N314*1.07*1.09*1.05</f>
        <v>21772.834710042152</v>
      </c>
      <c r="P314" s="78">
        <f t="shared" si="71"/>
        <v>0.12563376904192722</v>
      </c>
    </row>
    <row r="315" spans="2:16" ht="16.5" customHeight="1" x14ac:dyDescent="0.25">
      <c r="B315" s="106" t="s">
        <v>387</v>
      </c>
      <c r="C315" s="106"/>
      <c r="D315" s="106"/>
      <c r="E315" s="106"/>
      <c r="F315" s="106"/>
      <c r="G315" s="106"/>
      <c r="H315" s="22">
        <f t="shared" ref="H315:O315" si="72">SUM(H208:H314)</f>
        <v>341165.57900983002</v>
      </c>
      <c r="I315" s="22">
        <f t="shared" si="72"/>
        <v>280090.80163623003</v>
      </c>
      <c r="J315" s="22">
        <f t="shared" si="72"/>
        <v>2150.954988</v>
      </c>
      <c r="K315" s="22">
        <f t="shared" si="72"/>
        <v>325636.41130912979</v>
      </c>
      <c r="L315" s="22">
        <f t="shared" si="72"/>
        <v>99649.594282421967</v>
      </c>
      <c r="M315" s="22">
        <f t="shared" si="72"/>
        <v>68411.010664419999</v>
      </c>
      <c r="N315" s="22">
        <f t="shared" si="72"/>
        <v>1117104.3518900317</v>
      </c>
      <c r="O315" s="22">
        <f t="shared" si="72"/>
        <v>1368022.7458898115</v>
      </c>
      <c r="P315" s="23">
        <f>SUM(P208:P314)</f>
        <v>7.8937747881746043</v>
      </c>
    </row>
    <row r="316" spans="2:16" x14ac:dyDescent="0.25">
      <c r="B316" s="99" t="s">
        <v>719</v>
      </c>
      <c r="C316" s="99"/>
      <c r="D316" s="99"/>
      <c r="E316" s="99"/>
      <c r="F316" s="99"/>
      <c r="G316" s="99"/>
      <c r="H316" s="99"/>
      <c r="I316" s="99"/>
      <c r="J316" s="99"/>
      <c r="K316" s="99"/>
      <c r="L316" s="99"/>
      <c r="M316" s="100"/>
      <c r="N316" s="100"/>
      <c r="O316" s="15"/>
      <c r="P316" s="25"/>
    </row>
    <row r="317" spans="2:16" x14ac:dyDescent="0.25">
      <c r="B317" s="99"/>
      <c r="C317" s="99"/>
      <c r="D317" s="99"/>
      <c r="E317" s="99"/>
      <c r="F317" s="99"/>
      <c r="G317" s="99"/>
      <c r="H317" s="99"/>
      <c r="I317" s="99"/>
      <c r="J317" s="99"/>
      <c r="K317" s="99"/>
      <c r="L317" s="99"/>
      <c r="M317" s="101"/>
      <c r="N317" s="101"/>
      <c r="O317" s="17"/>
      <c r="P317" s="18"/>
    </row>
    <row r="318" spans="2:16" ht="15.75" customHeight="1" x14ac:dyDescent="0.25">
      <c r="B318" s="19"/>
      <c r="C318" s="20" t="s">
        <v>720</v>
      </c>
      <c r="D318" s="102" t="s">
        <v>721</v>
      </c>
      <c r="E318" s="102"/>
      <c r="F318" s="102"/>
      <c r="G318" s="102"/>
      <c r="H318" s="102"/>
      <c r="I318" s="102"/>
      <c r="J318" s="102"/>
      <c r="K318" s="102"/>
      <c r="L318" s="102"/>
      <c r="M318" s="102"/>
      <c r="N318" s="102"/>
      <c r="O318" s="102"/>
      <c r="P318" s="102"/>
    </row>
    <row r="319" spans="2:16" x14ac:dyDescent="0.25">
      <c r="B319" s="79"/>
      <c r="C319" s="80" t="s">
        <v>722</v>
      </c>
      <c r="D319" s="103" t="s">
        <v>723</v>
      </c>
      <c r="E319" s="103"/>
      <c r="F319" s="103"/>
      <c r="G319" s="103"/>
      <c r="H319" s="103"/>
      <c r="I319" s="103"/>
      <c r="J319" s="103"/>
      <c r="K319" s="103"/>
      <c r="L319" s="103"/>
      <c r="M319" s="103"/>
      <c r="N319" s="103"/>
      <c r="O319" s="103"/>
      <c r="P319" s="103"/>
    </row>
    <row r="320" spans="2:16" x14ac:dyDescent="0.25">
      <c r="B320" s="79"/>
      <c r="C320" s="80" t="s">
        <v>724</v>
      </c>
      <c r="D320" s="104" t="s">
        <v>725</v>
      </c>
      <c r="E320" s="104"/>
      <c r="F320" s="104"/>
      <c r="G320" s="104"/>
      <c r="H320" s="104"/>
      <c r="I320" s="104"/>
      <c r="J320" s="104"/>
      <c r="K320" s="104"/>
      <c r="L320" s="104"/>
      <c r="M320" s="104"/>
      <c r="N320" s="104"/>
      <c r="O320" s="104"/>
      <c r="P320" s="104"/>
    </row>
    <row r="321" spans="2:16" ht="30" x14ac:dyDescent="0.25">
      <c r="B321" s="29">
        <v>193</v>
      </c>
      <c r="C321" s="34" t="s">
        <v>726</v>
      </c>
      <c r="D321" s="35" t="s">
        <v>727</v>
      </c>
      <c r="E321" s="35" t="s">
        <v>530</v>
      </c>
      <c r="F321" s="74">
        <v>5.2999999999999999E-2</v>
      </c>
      <c r="G321" s="75">
        <v>1</v>
      </c>
      <c r="H321" s="76">
        <f>F321 * G321 * 13358.74475</f>
        <v>708.01347175000001</v>
      </c>
      <c r="I321" s="76">
        <f>F321 * G321 * 44990.439358</f>
        <v>2384.4932859740002</v>
      </c>
      <c r="J321" s="76">
        <f>F321 * G321 * 0</f>
        <v>0</v>
      </c>
      <c r="K321" s="76">
        <f>F321 * G321 * 12717.525002</f>
        <v>674.028825106</v>
      </c>
      <c r="L321" s="76">
        <f>F321 * G321 * 7462.004457</f>
        <v>395.48623622100001</v>
      </c>
      <c r="M321" s="76">
        <f>F321 * G321 * 2671.74895</f>
        <v>141.60269435000001</v>
      </c>
      <c r="N321" s="77">
        <f>SUM(H321:M321)</f>
        <v>4303.6245134010005</v>
      </c>
      <c r="O321" s="10">
        <f>N321*1.07*1.09*1.05</f>
        <v>5270.283133478566</v>
      </c>
      <c r="P321" s="78">
        <f t="shared" ref="P321:P325" si="73">IF($P$9&gt;0,O321/$P$9/12,0)</f>
        <v>3.041062602985832E-2</v>
      </c>
    </row>
    <row r="322" spans="2:16" ht="30" x14ac:dyDescent="0.25">
      <c r="B322" s="29">
        <v>194</v>
      </c>
      <c r="C322" s="34" t="s">
        <v>728</v>
      </c>
      <c r="D322" s="35" t="s">
        <v>729</v>
      </c>
      <c r="E322" s="35" t="s">
        <v>530</v>
      </c>
      <c r="F322" s="74">
        <v>5.2999999999999999E-2</v>
      </c>
      <c r="G322" s="75">
        <v>1</v>
      </c>
      <c r="H322" s="76">
        <f>F322 * G322 * 14386.3405</f>
        <v>762.47604649999994</v>
      </c>
      <c r="I322" s="76">
        <f>F322 * G322 * 60120.051358</f>
        <v>3186.3627219739997</v>
      </c>
      <c r="J322" s="76">
        <f>F322 * G322 * 0</f>
        <v>0</v>
      </c>
      <c r="K322" s="76">
        <f>F322 * G322 * 13695.796156</f>
        <v>725.87719626800003</v>
      </c>
      <c r="L322" s="76">
        <f>F322 * G322 * 9261.229741</f>
        <v>490.84517627299994</v>
      </c>
      <c r="M322" s="76">
        <f>F322 * G322 * 2877.2681</f>
        <v>152.49520929999997</v>
      </c>
      <c r="N322" s="77">
        <f>SUM(H322:M322)</f>
        <v>5318.0563503149997</v>
      </c>
      <c r="O322" s="10">
        <f>N322*1.07*1.09*1.05</f>
        <v>6512.5715774410046</v>
      </c>
      <c r="P322" s="78">
        <f t="shared" si="73"/>
        <v>3.7578887835485651E-2</v>
      </c>
    </row>
    <row r="323" spans="2:16" ht="30" x14ac:dyDescent="0.25">
      <c r="B323" s="29">
        <v>195</v>
      </c>
      <c r="C323" s="34" t="s">
        <v>730</v>
      </c>
      <c r="D323" s="35" t="s">
        <v>731</v>
      </c>
      <c r="E323" s="35" t="s">
        <v>530</v>
      </c>
      <c r="F323" s="74">
        <v>3.7999999999999999E-2</v>
      </c>
      <c r="G323" s="75">
        <v>1</v>
      </c>
      <c r="H323" s="76">
        <f>F323 * G323 * 21298.898063</f>
        <v>809.35812639400001</v>
      </c>
      <c r="I323" s="76">
        <f>F323 * G323 * 78125.550441</f>
        <v>2968.7709167580001</v>
      </c>
      <c r="J323" s="76">
        <f>F323 * G323 * 0</f>
        <v>0</v>
      </c>
      <c r="K323" s="76">
        <f>F323 * G323 * 20276.550956</f>
        <v>770.508936328</v>
      </c>
      <c r="L323" s="76">
        <f>F323 * G323 * 12568.604943</f>
        <v>477.60698783399999</v>
      </c>
      <c r="M323" s="76">
        <f>F323 * G323 * 4259.779613</f>
        <v>161.87162529399998</v>
      </c>
      <c r="N323" s="77">
        <f>SUM(H323:M323)</f>
        <v>5188.1165926080012</v>
      </c>
      <c r="O323" s="10">
        <f>N323*1.07*1.09*1.05</f>
        <v>6353.4454010566478</v>
      </c>
      <c r="P323" s="78">
        <f t="shared" si="73"/>
        <v>3.6660696816326499E-2</v>
      </c>
    </row>
    <row r="324" spans="2:16" ht="30" x14ac:dyDescent="0.25">
      <c r="B324" s="29">
        <v>196</v>
      </c>
      <c r="C324" s="34" t="s">
        <v>732</v>
      </c>
      <c r="D324" s="35" t="s">
        <v>733</v>
      </c>
      <c r="E324" s="35" t="s">
        <v>530</v>
      </c>
      <c r="F324" s="74">
        <v>3.9E-2</v>
      </c>
      <c r="G324" s="75">
        <v>1</v>
      </c>
      <c r="H324" s="76">
        <f>F324 * G324 * 24377.507179</f>
        <v>950.72277998100003</v>
      </c>
      <c r="I324" s="76">
        <f>F324 * G324 * 88503.187249</f>
        <v>3451.6243027109999</v>
      </c>
      <c r="J324" s="76">
        <f>F324 * G324 * 0</f>
        <v>0</v>
      </c>
      <c r="K324" s="76">
        <f>F324 * G324 * 23207.386834</f>
        <v>905.08808652599998</v>
      </c>
      <c r="L324" s="76">
        <f>F324 * G324 * 14289.248532</f>
        <v>557.28069274799998</v>
      </c>
      <c r="M324" s="76">
        <f>F324 * G324 * 4875.501436</f>
        <v>190.14455600399998</v>
      </c>
      <c r="N324" s="77">
        <f>SUM(H324:M324)</f>
        <v>6054.8604179699996</v>
      </c>
      <c r="O324" s="10">
        <f>N324*1.07*1.09*1.05</f>
        <v>7414.8728907523318</v>
      </c>
      <c r="P324" s="78">
        <f t="shared" si="73"/>
        <v>4.2785353429536148E-2</v>
      </c>
    </row>
    <row r="325" spans="2:16" ht="30" x14ac:dyDescent="0.25">
      <c r="B325" s="29">
        <v>197</v>
      </c>
      <c r="C325" s="34" t="s">
        <v>734</v>
      </c>
      <c r="D325" s="35" t="s">
        <v>735</v>
      </c>
      <c r="E325" s="35" t="s">
        <v>530</v>
      </c>
      <c r="F325" s="74">
        <v>5.2999999999999999E-2</v>
      </c>
      <c r="G325" s="75">
        <v>1</v>
      </c>
      <c r="H325" s="76">
        <f>F325 * G325 * 31707.494462</f>
        <v>1680.4972064859999</v>
      </c>
      <c r="I325" s="76">
        <f>F325 * G325 * 113281.790876</f>
        <v>6003.9349164280002</v>
      </c>
      <c r="J325" s="76">
        <f>F325 * G325 * 0</f>
        <v>0</v>
      </c>
      <c r="K325" s="76">
        <f>F325 * G325 * 30185.534728</f>
        <v>1599.8333405839999</v>
      </c>
      <c r="L325" s="76">
        <f>F325 * G325 * 18393.356107</f>
        <v>974.847873671</v>
      </c>
      <c r="M325" s="76">
        <f>F325 * G325 * 6341.498892</f>
        <v>336.09944127599999</v>
      </c>
      <c r="N325" s="77">
        <f>SUM(H325:M325)</f>
        <v>10595.212778445</v>
      </c>
      <c r="O325" s="10">
        <f>N325*1.07*1.09*1.05</f>
        <v>12975.056496675425</v>
      </c>
      <c r="P325" s="78">
        <f t="shared" si="73"/>
        <v>7.486876527186577E-2</v>
      </c>
    </row>
    <row r="326" spans="2:16" x14ac:dyDescent="0.25">
      <c r="B326" s="79"/>
      <c r="C326" s="80" t="s">
        <v>736</v>
      </c>
      <c r="D326" s="104" t="s">
        <v>737</v>
      </c>
      <c r="E326" s="104"/>
      <c r="F326" s="104"/>
      <c r="G326" s="104"/>
      <c r="H326" s="104"/>
      <c r="I326" s="104"/>
      <c r="J326" s="104"/>
      <c r="K326" s="104"/>
      <c r="L326" s="104"/>
      <c r="M326" s="104"/>
      <c r="N326" s="104"/>
      <c r="O326" s="104"/>
      <c r="P326" s="104"/>
    </row>
    <row r="327" spans="2:16" ht="60" x14ac:dyDescent="0.25">
      <c r="B327" s="29">
        <v>198</v>
      </c>
      <c r="C327" s="34" t="s">
        <v>738</v>
      </c>
      <c r="D327" s="35" t="s">
        <v>739</v>
      </c>
      <c r="E327" s="35" t="s">
        <v>740</v>
      </c>
      <c r="F327" s="74">
        <v>10.096</v>
      </c>
      <c r="G327" s="75">
        <v>1</v>
      </c>
      <c r="H327" s="76">
        <f>F327 * G327 * 367.146332</f>
        <v>3706.7093678719998</v>
      </c>
      <c r="I327" s="76">
        <f>F327 * G327 * 271.086667</f>
        <v>2736.890990032</v>
      </c>
      <c r="J327" s="76">
        <f>F327 * G327 * 0</f>
        <v>0</v>
      </c>
      <c r="K327" s="76">
        <f>F327 * G327 * 349.523308</f>
        <v>3528.7873175679997</v>
      </c>
      <c r="L327" s="76">
        <f>F327 * G327 * 103.714413</f>
        <v>1047.100713648</v>
      </c>
      <c r="M327" s="76">
        <f>F327 * G327 * 73.429266</f>
        <v>741.34186953599999</v>
      </c>
      <c r="N327" s="77">
        <f>SUM(H327:M327)</f>
        <v>11760.830258656</v>
      </c>
      <c r="O327" s="10">
        <f>N327*1.07*1.09*1.05</f>
        <v>14402.489147204022</v>
      </c>
      <c r="P327" s="78">
        <f t="shared" ref="P327:P329" si="74">IF($P$9&gt;0,O327/$P$9/12,0)</f>
        <v>8.3105347523450251E-2</v>
      </c>
    </row>
    <row r="328" spans="2:16" ht="60" x14ac:dyDescent="0.25">
      <c r="B328" s="29">
        <v>199</v>
      </c>
      <c r="C328" s="34" t="s">
        <v>741</v>
      </c>
      <c r="D328" s="35" t="s">
        <v>742</v>
      </c>
      <c r="E328" s="35" t="s">
        <v>740</v>
      </c>
      <c r="F328" s="74">
        <v>5.3360000000000003</v>
      </c>
      <c r="G328" s="75">
        <v>1</v>
      </c>
      <c r="H328" s="76">
        <f>F328 * G328 * 396.791688</f>
        <v>2117.2804471680001</v>
      </c>
      <c r="I328" s="76">
        <f>F328 * G328 * 358.546694</f>
        <v>1913.2051591840002</v>
      </c>
      <c r="J328" s="76">
        <f>F328 * G328 * 0</f>
        <v>0</v>
      </c>
      <c r="K328" s="76">
        <f>F328 * G328 * 377.745687</f>
        <v>2015.6509858320001</v>
      </c>
      <c r="L328" s="76">
        <f>F328 * G328 * 118.973827</f>
        <v>634.84434087200009</v>
      </c>
      <c r="M328" s="76">
        <f>F328 * G328 * 79.358338</f>
        <v>423.45609156800003</v>
      </c>
      <c r="N328" s="77">
        <f>SUM(H328:M328)</f>
        <v>7104.4370246240014</v>
      </c>
      <c r="O328" s="10">
        <f>N328*1.07*1.09*1.05</f>
        <v>8700.2001469099232</v>
      </c>
      <c r="P328" s="78">
        <f t="shared" si="74"/>
        <v>5.0201958102005284E-2</v>
      </c>
    </row>
    <row r="329" spans="2:16" ht="60" x14ac:dyDescent="0.25">
      <c r="B329" s="29">
        <v>200</v>
      </c>
      <c r="C329" s="34" t="s">
        <v>743</v>
      </c>
      <c r="D329" s="35" t="s">
        <v>744</v>
      </c>
      <c r="E329" s="35" t="s">
        <v>740</v>
      </c>
      <c r="F329" s="74">
        <v>9.6329999999999991</v>
      </c>
      <c r="G329" s="75">
        <v>1</v>
      </c>
      <c r="H329" s="76">
        <f>F329 * G329 * 417.315396</f>
        <v>4019.9992096679998</v>
      </c>
      <c r="I329" s="76">
        <f>F329 * G329 * 458.930671</f>
        <v>4420.8791537429997</v>
      </c>
      <c r="J329" s="76">
        <f>F329 * G329 * 0</f>
        <v>0</v>
      </c>
      <c r="K329" s="76">
        <f>F329 * G329 * 397.284256999999</f>
        <v>3827.0392476809902</v>
      </c>
      <c r="L329" s="76">
        <f>F329 * G329 * 133.720684</f>
        <v>1288.1313489719998</v>
      </c>
      <c r="M329" s="76">
        <f>F329 * G329 * 83.463079</f>
        <v>803.99984000699988</v>
      </c>
      <c r="N329" s="77">
        <f>SUM(H329:M329)</f>
        <v>14360.04880007099</v>
      </c>
      <c r="O329" s="10">
        <f>N329*1.07*1.09*1.05</f>
        <v>17585.531161298935</v>
      </c>
      <c r="P329" s="78">
        <f t="shared" si="74"/>
        <v>0.10147215968067058</v>
      </c>
    </row>
    <row r="330" spans="2:16" x14ac:dyDescent="0.25">
      <c r="B330" s="79"/>
      <c r="C330" s="80" t="s">
        <v>745</v>
      </c>
      <c r="D330" s="103" t="s">
        <v>746</v>
      </c>
      <c r="E330" s="103"/>
      <c r="F330" s="103"/>
      <c r="G330" s="103"/>
      <c r="H330" s="103"/>
      <c r="I330" s="103"/>
      <c r="J330" s="103"/>
      <c r="K330" s="103"/>
      <c r="L330" s="103"/>
      <c r="M330" s="103"/>
      <c r="N330" s="103"/>
      <c r="O330" s="103"/>
      <c r="P330" s="103"/>
    </row>
    <row r="331" spans="2:16" x14ac:dyDescent="0.25">
      <c r="B331" s="79"/>
      <c r="C331" s="80" t="s">
        <v>747</v>
      </c>
      <c r="D331" s="104" t="s">
        <v>748</v>
      </c>
      <c r="E331" s="104"/>
      <c r="F331" s="104"/>
      <c r="G331" s="104"/>
      <c r="H331" s="104"/>
      <c r="I331" s="104"/>
      <c r="J331" s="104"/>
      <c r="K331" s="104"/>
      <c r="L331" s="104"/>
      <c r="M331" s="104"/>
      <c r="N331" s="104"/>
      <c r="O331" s="104"/>
      <c r="P331" s="104"/>
    </row>
    <row r="332" spans="2:16" ht="30" x14ac:dyDescent="0.25">
      <c r="B332" s="29">
        <v>201</v>
      </c>
      <c r="C332" s="34" t="s">
        <v>749</v>
      </c>
      <c r="D332" s="35" t="s">
        <v>750</v>
      </c>
      <c r="E332" s="35" t="s">
        <v>751</v>
      </c>
      <c r="F332" s="74">
        <v>0.08</v>
      </c>
      <c r="G332" s="75">
        <v>1</v>
      </c>
      <c r="H332" s="76">
        <f>F332 * G332 * 22607.1065</f>
        <v>1808.5685200000003</v>
      </c>
      <c r="I332" s="76">
        <f>F332 * G332 * 774225.380288</f>
        <v>61938.03042304</v>
      </c>
      <c r="J332" s="76">
        <f>F332 * G332 * 0</f>
        <v>0</v>
      </c>
      <c r="K332" s="76">
        <f>F332 * G332 * 21521.965388</f>
        <v>1721.7572310400001</v>
      </c>
      <c r="L332" s="76">
        <f>F332 * G332 * 85927.217479</f>
        <v>6874.1773983200001</v>
      </c>
      <c r="M332" s="76">
        <f>F332 * G332 * 4521.4213</f>
        <v>361.71370400000001</v>
      </c>
      <c r="N332" s="77">
        <f>SUM(H332:M332)</f>
        <v>72704.247276399998</v>
      </c>
      <c r="O332" s="10">
        <f>N332*1.07*1.09*1.05</f>
        <v>89034.711778388606</v>
      </c>
      <c r="P332" s="78">
        <f t="shared" ref="P332:P334" si="75">IF($P$9&gt;0,O332/$P$9/12,0)</f>
        <v>0.51374874081607236</v>
      </c>
    </row>
    <row r="333" spans="2:16" x14ac:dyDescent="0.25">
      <c r="B333" s="29">
        <v>202</v>
      </c>
      <c r="C333" s="34" t="s">
        <v>752</v>
      </c>
      <c r="D333" s="35" t="s">
        <v>753</v>
      </c>
      <c r="E333" s="35" t="s">
        <v>754</v>
      </c>
      <c r="F333" s="74">
        <v>0.06</v>
      </c>
      <c r="G333" s="75">
        <v>1</v>
      </c>
      <c r="H333" s="76">
        <f>F333 * G333 * 16573.54545</f>
        <v>994.41272700000002</v>
      </c>
      <c r="I333" s="76">
        <f>F333 * G333 * 84616.663334</f>
        <v>5076.9998000400001</v>
      </c>
      <c r="J333" s="76">
        <f>F333 * G333 * 0</f>
        <v>0</v>
      </c>
      <c r="K333" s="76">
        <f>F333 * G333 * 15778.015269</f>
        <v>946.68091613999991</v>
      </c>
      <c r="L333" s="76">
        <f>F333 * G333 * 12281.663525</f>
        <v>736.89981149999994</v>
      </c>
      <c r="M333" s="76">
        <f>F333 * G333 * 3314.70909</f>
        <v>198.88254539999997</v>
      </c>
      <c r="N333" s="77">
        <f>SUM(H333:M333)</f>
        <v>7953.875800079999</v>
      </c>
      <c r="O333" s="10">
        <f>N333*1.07*1.09*1.05</f>
        <v>9740.435612914971</v>
      </c>
      <c r="P333" s="78">
        <f t="shared" si="75"/>
        <v>5.6204332346137253E-2</v>
      </c>
    </row>
    <row r="334" spans="2:16" x14ac:dyDescent="0.25">
      <c r="B334" s="29">
        <v>203</v>
      </c>
      <c r="C334" s="34" t="s">
        <v>755</v>
      </c>
      <c r="D334" s="35" t="s">
        <v>756</v>
      </c>
      <c r="E334" s="35" t="s">
        <v>754</v>
      </c>
      <c r="F334" s="74">
        <v>0.05</v>
      </c>
      <c r="G334" s="75">
        <v>1</v>
      </c>
      <c r="H334" s="76">
        <f>F334 * G334 * 16573.54545</f>
        <v>828.67727250000007</v>
      </c>
      <c r="I334" s="76">
        <f>F334 * G334 * 99554.323334</f>
        <v>4977.7161667</v>
      </c>
      <c r="J334" s="76">
        <f>F334 * G334 * 0</f>
        <v>0</v>
      </c>
      <c r="K334" s="76">
        <f>F334 * G334 * 15778.015269</f>
        <v>788.90076345</v>
      </c>
      <c r="L334" s="76">
        <f>F334 * G334 * 13850.117825</f>
        <v>692.50589124999999</v>
      </c>
      <c r="M334" s="76">
        <f>F334 * G334 * 3314.70909</f>
        <v>165.7354545</v>
      </c>
      <c r="N334" s="77">
        <f>SUM(H334:M334)</f>
        <v>7453.5355484000002</v>
      </c>
      <c r="O334" s="10">
        <f>N334*1.07*1.09*1.05</f>
        <v>9127.7114356038674</v>
      </c>
      <c r="P334" s="78">
        <f t="shared" si="75"/>
        <v>5.2668786846257837E-2</v>
      </c>
    </row>
    <row r="335" spans="2:16" x14ac:dyDescent="0.25">
      <c r="B335" s="79"/>
      <c r="C335" s="80" t="s">
        <v>757</v>
      </c>
      <c r="D335" s="104" t="s">
        <v>758</v>
      </c>
      <c r="E335" s="104"/>
      <c r="F335" s="104"/>
      <c r="G335" s="104"/>
      <c r="H335" s="104"/>
      <c r="I335" s="104"/>
      <c r="J335" s="104"/>
      <c r="K335" s="104"/>
      <c r="L335" s="104"/>
      <c r="M335" s="104"/>
      <c r="N335" s="104"/>
      <c r="O335" s="104"/>
      <c r="P335" s="104"/>
    </row>
    <row r="336" spans="2:16" ht="30" x14ac:dyDescent="0.25">
      <c r="B336" s="29">
        <v>204</v>
      </c>
      <c r="C336" s="34" t="s">
        <v>759</v>
      </c>
      <c r="D336" s="35" t="s">
        <v>760</v>
      </c>
      <c r="E336" s="35" t="s">
        <v>754</v>
      </c>
      <c r="F336" s="74">
        <v>0.03</v>
      </c>
      <c r="G336" s="75">
        <v>1</v>
      </c>
      <c r="H336" s="76">
        <f>F336 * G336 * 12268.72845</f>
        <v>368.06185349999998</v>
      </c>
      <c r="I336" s="76">
        <f>F336 * G336 * 98299.253941</f>
        <v>2948.9776182300002</v>
      </c>
      <c r="J336" s="76">
        <f>F336 * G336 * 0</f>
        <v>0</v>
      </c>
      <c r="K336" s="76">
        <f>F336 * G336 * 11679.829485</f>
        <v>350.39488454999997</v>
      </c>
      <c r="L336" s="76">
        <f>F336 * G336 * 12836.020247</f>
        <v>385.08060740999997</v>
      </c>
      <c r="M336" s="76">
        <f>F336 * G336 * 2453.74569</f>
        <v>73.6123707</v>
      </c>
      <c r="N336" s="77">
        <f>SUM(H336:M336)</f>
        <v>4126.1273343900002</v>
      </c>
      <c r="O336" s="10">
        <f>N336*1.07*1.09*1.05</f>
        <v>5052.9174256040105</v>
      </c>
      <c r="P336" s="78">
        <f t="shared" ref="P336:P337" si="76">IF($P$9&gt;0,O336/$P$9/12,0)</f>
        <v>2.9156380842935019E-2</v>
      </c>
    </row>
    <row r="337" spans="2:16" x14ac:dyDescent="0.25">
      <c r="B337" s="29">
        <v>205</v>
      </c>
      <c r="C337" s="34" t="s">
        <v>761</v>
      </c>
      <c r="D337" s="35" t="s">
        <v>762</v>
      </c>
      <c r="E337" s="35" t="s">
        <v>754</v>
      </c>
      <c r="F337" s="74">
        <v>0.03</v>
      </c>
      <c r="G337" s="75">
        <v>1</v>
      </c>
      <c r="H337" s="76">
        <f>F337 * G337 * 12268.72845</f>
        <v>368.06185349999998</v>
      </c>
      <c r="I337" s="76">
        <f>F337 * G337 * 83361.593941</f>
        <v>2500.84781823</v>
      </c>
      <c r="J337" s="76">
        <f>F337 * G337 * 0</f>
        <v>0</v>
      </c>
      <c r="K337" s="76">
        <f>F337 * G337 * 11679.829485</f>
        <v>350.39488454999997</v>
      </c>
      <c r="L337" s="76">
        <f>F337 * G337 * 11267.565947</f>
        <v>338.02697840999997</v>
      </c>
      <c r="M337" s="76">
        <f>F337 * G337 * 2453.74569</f>
        <v>73.6123707</v>
      </c>
      <c r="N337" s="77">
        <f>SUM(H337:M337)</f>
        <v>3630.9439053900001</v>
      </c>
      <c r="O337" s="10">
        <f>N337*1.07*1.09*1.05</f>
        <v>4446.5083706991754</v>
      </c>
      <c r="P337" s="78">
        <f t="shared" si="76"/>
        <v>2.5657274908248946E-2</v>
      </c>
    </row>
    <row r="338" spans="2:16" x14ac:dyDescent="0.25">
      <c r="B338" s="79"/>
      <c r="C338" s="80" t="s">
        <v>763</v>
      </c>
      <c r="D338" s="104" t="s">
        <v>764</v>
      </c>
      <c r="E338" s="104"/>
      <c r="F338" s="104"/>
      <c r="G338" s="104"/>
      <c r="H338" s="104"/>
      <c r="I338" s="104"/>
      <c r="J338" s="104"/>
      <c r="K338" s="104"/>
      <c r="L338" s="104"/>
      <c r="M338" s="104"/>
      <c r="N338" s="104"/>
      <c r="O338" s="104"/>
      <c r="P338" s="104"/>
    </row>
    <row r="339" spans="2:16" ht="30" x14ac:dyDescent="0.25">
      <c r="B339" s="29">
        <v>206</v>
      </c>
      <c r="C339" s="34" t="s">
        <v>765</v>
      </c>
      <c r="D339" s="35" t="s">
        <v>766</v>
      </c>
      <c r="E339" s="35" t="s">
        <v>767</v>
      </c>
      <c r="F339" s="74">
        <v>1.8</v>
      </c>
      <c r="G339" s="75">
        <v>1</v>
      </c>
      <c r="H339" s="76">
        <f>F339 * G339 * 59031.6498</f>
        <v>106256.96964</v>
      </c>
      <c r="I339" s="76">
        <f>F339 * G339 * 1997.016859</f>
        <v>3594.6303462000001</v>
      </c>
      <c r="J339" s="76">
        <f>F339 * G339 * 0</f>
        <v>0</v>
      </c>
      <c r="K339" s="76">
        <f>F339 * G339 * 56198.13061</f>
        <v>101156.635098</v>
      </c>
      <c r="L339" s="76">
        <f>F339 * G339 * 12308.813713</f>
        <v>22155.864683399999</v>
      </c>
      <c r="M339" s="76">
        <f>F339 * G339 * 11806.32996</f>
        <v>21251.393927999998</v>
      </c>
      <c r="N339" s="77">
        <f>SUM(H339:M339)</f>
        <v>254415.49369559999</v>
      </c>
      <c r="O339" s="10">
        <f>N339*1.07*1.09*1.05</f>
        <v>311561.02981203725</v>
      </c>
      <c r="P339" s="78">
        <f t="shared" ref="P339:P340" si="77">IF($P$9&gt;0,O339/$P$9/12,0)</f>
        <v>1.7977717179755646</v>
      </c>
    </row>
    <row r="340" spans="2:16" ht="30" x14ac:dyDescent="0.25">
      <c r="B340" s="29">
        <v>207</v>
      </c>
      <c r="C340" s="34" t="s">
        <v>768</v>
      </c>
      <c r="D340" s="35" t="s">
        <v>769</v>
      </c>
      <c r="E340" s="35" t="s">
        <v>767</v>
      </c>
      <c r="F340" s="74">
        <v>0.9</v>
      </c>
      <c r="G340" s="75">
        <v>1</v>
      </c>
      <c r="H340" s="76">
        <f>F340 * G340 * 80895.2238</f>
        <v>72805.701420000012</v>
      </c>
      <c r="I340" s="76">
        <f>F340 * G340 * 1997.016859</f>
        <v>1797.3151731</v>
      </c>
      <c r="J340" s="76">
        <f>F340 * G340 * 0</f>
        <v>0</v>
      </c>
      <c r="K340" s="76">
        <f>F340 * G340 * 77012.253058</f>
        <v>69311.027752200011</v>
      </c>
      <c r="L340" s="76">
        <f>F340 * G340 * 16789.971841</f>
        <v>15110.9746569</v>
      </c>
      <c r="M340" s="76">
        <f>F340 * G340 * 16179.04476</f>
        <v>14561.140284000001</v>
      </c>
      <c r="N340" s="77">
        <f>SUM(H340:M340)</f>
        <v>173586.15928620001</v>
      </c>
      <c r="O340" s="10">
        <f>N340*1.07*1.09*1.05</f>
        <v>212576.21445426988</v>
      </c>
      <c r="P340" s="78">
        <f t="shared" si="77"/>
        <v>1.2266088171898506</v>
      </c>
    </row>
    <row r="341" spans="2:16" x14ac:dyDescent="0.25">
      <c r="B341" s="79"/>
      <c r="C341" s="80" t="s">
        <v>770</v>
      </c>
      <c r="D341" s="103" t="s">
        <v>771</v>
      </c>
      <c r="E341" s="103"/>
      <c r="F341" s="103"/>
      <c r="G341" s="103"/>
      <c r="H341" s="103"/>
      <c r="I341" s="103"/>
      <c r="J341" s="103"/>
      <c r="K341" s="103"/>
      <c r="L341" s="103"/>
      <c r="M341" s="103"/>
      <c r="N341" s="103"/>
      <c r="O341" s="103"/>
      <c r="P341" s="103"/>
    </row>
    <row r="342" spans="2:16" x14ac:dyDescent="0.25">
      <c r="B342" s="79"/>
      <c r="C342" s="80" t="s">
        <v>772</v>
      </c>
      <c r="D342" s="104" t="s">
        <v>773</v>
      </c>
      <c r="E342" s="104"/>
      <c r="F342" s="104"/>
      <c r="G342" s="104"/>
      <c r="H342" s="104"/>
      <c r="I342" s="104"/>
      <c r="J342" s="104"/>
      <c r="K342" s="104"/>
      <c r="L342" s="104"/>
      <c r="M342" s="104"/>
      <c r="N342" s="104"/>
      <c r="O342" s="104"/>
      <c r="P342" s="104"/>
    </row>
    <row r="343" spans="2:16" ht="45" x14ac:dyDescent="0.25">
      <c r="B343" s="29">
        <v>208</v>
      </c>
      <c r="C343" s="34" t="s">
        <v>774</v>
      </c>
      <c r="D343" s="35" t="s">
        <v>775</v>
      </c>
      <c r="E343" s="35" t="s">
        <v>776</v>
      </c>
      <c r="F343" s="74">
        <v>7.6999999999999999E-2</v>
      </c>
      <c r="G343" s="75">
        <v>1</v>
      </c>
      <c r="H343" s="76">
        <f>F343 * G343 * 24860.7252</f>
        <v>1914.2758404000001</v>
      </c>
      <c r="I343" s="76">
        <f>F343 * G343 * 2504.560909</f>
        <v>192.85118999299999</v>
      </c>
      <c r="J343" s="76">
        <f>F343 * G343 * 0</f>
        <v>0</v>
      </c>
      <c r="K343" s="76">
        <f>F343 * G343 * 23667.41039</f>
        <v>1822.3906000300001</v>
      </c>
      <c r="L343" s="76">
        <f>F343 * G343 * 5358.433132</f>
        <v>412.59935116399998</v>
      </c>
      <c r="M343" s="76">
        <f>F343 * G343 * 4972.14504</f>
        <v>382.85516808</v>
      </c>
      <c r="N343" s="77">
        <f>SUM(H343:M343)</f>
        <v>4724.9721496669999</v>
      </c>
      <c r="O343" s="10">
        <f>N343*1.07*1.09*1.05</f>
        <v>5786.271769064454</v>
      </c>
      <c r="P343" s="78">
        <f>IF($P$9&gt;0,O343/$P$9/12,0)</f>
        <v>3.3387987404009452E-2</v>
      </c>
    </row>
    <row r="344" spans="2:16" x14ac:dyDescent="0.25">
      <c r="B344" s="79"/>
      <c r="C344" s="80" t="s">
        <v>777</v>
      </c>
      <c r="D344" s="103" t="s">
        <v>778</v>
      </c>
      <c r="E344" s="103"/>
      <c r="F344" s="103"/>
      <c r="G344" s="103"/>
      <c r="H344" s="103"/>
      <c r="I344" s="103"/>
      <c r="J344" s="103"/>
      <c r="K344" s="103"/>
      <c r="L344" s="103"/>
      <c r="M344" s="103"/>
      <c r="N344" s="103"/>
      <c r="O344" s="103"/>
      <c r="P344" s="103"/>
    </row>
    <row r="345" spans="2:16" x14ac:dyDescent="0.25">
      <c r="B345" s="29">
        <v>209</v>
      </c>
      <c r="C345" s="34" t="s">
        <v>779</v>
      </c>
      <c r="D345" s="35" t="s">
        <v>780</v>
      </c>
      <c r="E345" s="35" t="s">
        <v>781</v>
      </c>
      <c r="F345" s="74">
        <v>8</v>
      </c>
      <c r="G345" s="75">
        <v>0.1</v>
      </c>
      <c r="H345" s="76">
        <f>F345 * G345 * 576.944236</f>
        <v>461.55538880000006</v>
      </c>
      <c r="I345" s="76">
        <f>F345 * G345 * 88262.56512</f>
        <v>70610.052095999999</v>
      </c>
      <c r="J345" s="76">
        <f>F345 * G345 * 0</f>
        <v>0</v>
      </c>
      <c r="K345" s="76">
        <f>F345 * G345 * 549.250912</f>
        <v>439.40072959999998</v>
      </c>
      <c r="L345" s="76">
        <f>F345 * G345 * 9385.819828</f>
        <v>7508.6558623999999</v>
      </c>
      <c r="M345" s="76">
        <f>F345 * G345 * 115.388847</f>
        <v>92.311077600000004</v>
      </c>
      <c r="N345" s="77">
        <f>SUM(H345:M345)</f>
        <v>79111.975154400003</v>
      </c>
      <c r="O345" s="10">
        <f>N345*1.07*1.09*1.05</f>
        <v>96881.711453705575</v>
      </c>
      <c r="P345" s="78">
        <f>IF($P$9&gt;0,O345/$P$9/12,0)</f>
        <v>0.55902755535766968</v>
      </c>
    </row>
    <row r="346" spans="2:16" x14ac:dyDescent="0.25">
      <c r="B346" s="79"/>
      <c r="C346" s="80" t="s">
        <v>782</v>
      </c>
      <c r="D346" s="103" t="s">
        <v>783</v>
      </c>
      <c r="E346" s="103"/>
      <c r="F346" s="103"/>
      <c r="G346" s="103"/>
      <c r="H346" s="103"/>
      <c r="I346" s="103"/>
      <c r="J346" s="103"/>
      <c r="K346" s="103"/>
      <c r="L346" s="103"/>
      <c r="M346" s="103"/>
      <c r="N346" s="103"/>
      <c r="O346" s="103"/>
      <c r="P346" s="103"/>
    </row>
    <row r="347" spans="2:16" ht="30" x14ac:dyDescent="0.25">
      <c r="B347" s="29">
        <v>210</v>
      </c>
      <c r="C347" s="34" t="s">
        <v>784</v>
      </c>
      <c r="D347" s="35" t="s">
        <v>785</v>
      </c>
      <c r="E347" s="35" t="s">
        <v>786</v>
      </c>
      <c r="F347" s="74">
        <v>1</v>
      </c>
      <c r="G347" s="75">
        <v>0.5</v>
      </c>
      <c r="H347" s="76">
        <f>F347 * G347 * 3146.052</f>
        <v>1573.0260000000001</v>
      </c>
      <c r="I347" s="76">
        <f>F347 * G347 * 23605.280733</f>
        <v>11802.6403665</v>
      </c>
      <c r="J347" s="76">
        <f>F347 * G347 * 0</f>
        <v>0</v>
      </c>
      <c r="K347" s="76">
        <f>F347 * G347 * 2995.041504</f>
        <v>1497.5207519999999</v>
      </c>
      <c r="L347" s="76">
        <f>F347 * G347 * 3123.369295</f>
        <v>1561.6846475</v>
      </c>
      <c r="M347" s="76">
        <f>F347 * G347 * 629.2104</f>
        <v>314.60520000000002</v>
      </c>
      <c r="N347" s="77">
        <f>SUM(H347:M347)</f>
        <v>16749.476966000002</v>
      </c>
      <c r="O347" s="10">
        <f>N347*1.07*1.09*1.05</f>
        <v>20511.660734718094</v>
      </c>
      <c r="P347" s="78">
        <f t="shared" ref="P347:P348" si="78">IF($P$9&gt;0,O347/$P$9/12,0)</f>
        <v>0.11835653380601772</v>
      </c>
    </row>
    <row r="348" spans="2:16" ht="30" x14ac:dyDescent="0.25">
      <c r="B348" s="29">
        <v>211</v>
      </c>
      <c r="C348" s="34" t="s">
        <v>787</v>
      </c>
      <c r="D348" s="35" t="s">
        <v>788</v>
      </c>
      <c r="E348" s="35" t="s">
        <v>789</v>
      </c>
      <c r="F348" s="74">
        <v>1</v>
      </c>
      <c r="G348" s="75">
        <v>0.5</v>
      </c>
      <c r="H348" s="76">
        <f>F348 * G348 * 4719.078</f>
        <v>2359.5390000000002</v>
      </c>
      <c r="I348" s="76">
        <f>F348 * G348 * 26295.23832</f>
        <v>13147.61916</v>
      </c>
      <c r="J348" s="76">
        <f>F348 * G348 * 0</f>
        <v>0</v>
      </c>
      <c r="K348" s="76">
        <f>F348 * G348 * 4492.562256</f>
        <v>2246.2811280000001</v>
      </c>
      <c r="L348" s="76">
        <f>F348 * G348 * 3728.22225099999</f>
        <v>1864.1111254999951</v>
      </c>
      <c r="M348" s="76">
        <f>F348 * G348 * 943.8156</f>
        <v>471.90780000000001</v>
      </c>
      <c r="N348" s="77">
        <f>SUM(H348:M348)</f>
        <v>20089.458213499998</v>
      </c>
      <c r="O348" s="10">
        <f>N348*1.07*1.09*1.05</f>
        <v>24601.851870125305</v>
      </c>
      <c r="P348" s="78">
        <f t="shared" si="78"/>
        <v>0.14195778441423917</v>
      </c>
    </row>
    <row r="349" spans="2:16" x14ac:dyDescent="0.25">
      <c r="B349" s="79"/>
      <c r="C349" s="80" t="s">
        <v>790</v>
      </c>
      <c r="D349" s="103" t="s">
        <v>791</v>
      </c>
      <c r="E349" s="103"/>
      <c r="F349" s="103"/>
      <c r="G349" s="103"/>
      <c r="H349" s="103"/>
      <c r="I349" s="103"/>
      <c r="J349" s="103"/>
      <c r="K349" s="103"/>
      <c r="L349" s="103"/>
      <c r="M349" s="103"/>
      <c r="N349" s="103"/>
      <c r="O349" s="103"/>
      <c r="P349" s="103"/>
    </row>
    <row r="350" spans="2:16" x14ac:dyDescent="0.25">
      <c r="B350" s="29">
        <v>212</v>
      </c>
      <c r="C350" s="34" t="s">
        <v>792</v>
      </c>
      <c r="D350" s="35" t="s">
        <v>793</v>
      </c>
      <c r="E350" s="35" t="s">
        <v>794</v>
      </c>
      <c r="F350" s="74">
        <v>1</v>
      </c>
      <c r="G350" s="75">
        <v>0.5</v>
      </c>
      <c r="H350" s="76">
        <f>F350 * G350 * 2850.515</f>
        <v>1425.2574999999999</v>
      </c>
      <c r="I350" s="76">
        <f>F350 * G350 * 7411.615799</f>
        <v>3705.8078995000001</v>
      </c>
      <c r="J350" s="76">
        <f>F350 * G350 * 0</f>
        <v>0</v>
      </c>
      <c r="K350" s="76">
        <f>F350 * G350 * 2713.69028</f>
        <v>1356.8451399999999</v>
      </c>
      <c r="L350" s="76">
        <f>F350 * G350 * 1362.461213</f>
        <v>681.23060650000002</v>
      </c>
      <c r="M350" s="76">
        <f>F350 * G350 * 570.103</f>
        <v>285.05149999999998</v>
      </c>
      <c r="N350" s="77">
        <f>SUM(H350:M350)</f>
        <v>7454.1926460000004</v>
      </c>
      <c r="O350" s="10">
        <f>N350*1.07*1.09*1.05</f>
        <v>9128.5161271812922</v>
      </c>
      <c r="P350" s="78">
        <f>IF($P$9&gt;0,O350/$P$9/12,0)</f>
        <v>5.2673430083444654E-2</v>
      </c>
    </row>
    <row r="351" spans="2:16" x14ac:dyDescent="0.25">
      <c r="B351" s="79"/>
      <c r="C351" s="80" t="s">
        <v>795</v>
      </c>
      <c r="D351" s="104" t="s">
        <v>796</v>
      </c>
      <c r="E351" s="104"/>
      <c r="F351" s="104"/>
      <c r="G351" s="104"/>
      <c r="H351" s="104"/>
      <c r="I351" s="104"/>
      <c r="J351" s="104"/>
      <c r="K351" s="104"/>
      <c r="L351" s="104"/>
      <c r="M351" s="104"/>
      <c r="N351" s="104"/>
      <c r="O351" s="104"/>
      <c r="P351" s="104"/>
    </row>
    <row r="352" spans="2:16" ht="30" x14ac:dyDescent="0.25">
      <c r="B352" s="29">
        <v>213</v>
      </c>
      <c r="C352" s="34" t="s">
        <v>797</v>
      </c>
      <c r="D352" s="35" t="s">
        <v>798</v>
      </c>
      <c r="E352" s="35" t="s">
        <v>281</v>
      </c>
      <c r="F352" s="74">
        <v>0.02</v>
      </c>
      <c r="G352" s="75">
        <v>1</v>
      </c>
      <c r="H352" s="76">
        <f>F352 * G352 * 57545.362</f>
        <v>1150.90724</v>
      </c>
      <c r="I352" s="76">
        <f>F352 * G352 * 495853.13854</f>
        <v>9917.0627708000011</v>
      </c>
      <c r="J352" s="76">
        <f>F352 * G352 * 0</f>
        <v>0</v>
      </c>
      <c r="K352" s="76">
        <f>F352 * G352 * 54783.184624</f>
        <v>1095.66369248</v>
      </c>
      <c r="L352" s="76">
        <f>F352 * G352 * 63859.076942</f>
        <v>1277.18153884</v>
      </c>
      <c r="M352" s="76">
        <f>F352 * G352 * 11509.0724</f>
        <v>230.18144799999999</v>
      </c>
      <c r="N352" s="77">
        <f>SUM(H352:M352)</f>
        <v>13670.996690120002</v>
      </c>
      <c r="O352" s="10">
        <f>N352*1.07*1.09*1.05</f>
        <v>16741.707611671311</v>
      </c>
      <c r="P352" s="78">
        <f t="shared" ref="P352:P354" si="79">IF($P$9&gt;0,O352/$P$9/12,0)</f>
        <v>9.6603122903518149E-2</v>
      </c>
    </row>
    <row r="353" spans="2:16" ht="30" x14ac:dyDescent="0.25">
      <c r="B353" s="29">
        <v>214</v>
      </c>
      <c r="C353" s="34" t="s">
        <v>799</v>
      </c>
      <c r="D353" s="35" t="s">
        <v>800</v>
      </c>
      <c r="E353" s="35" t="s">
        <v>281</v>
      </c>
      <c r="F353" s="74">
        <v>0.02</v>
      </c>
      <c r="G353" s="75">
        <v>1</v>
      </c>
      <c r="H353" s="76">
        <f>F353 * G353 * 66793.72375</f>
        <v>1335.8744750000001</v>
      </c>
      <c r="I353" s="76">
        <f>F353 * G353 * 1058168.892276</f>
        <v>21163.377845520001</v>
      </c>
      <c r="J353" s="76">
        <f>F353 * G353 * 0</f>
        <v>0</v>
      </c>
      <c r="K353" s="76">
        <f>F353 * G353 * 63587.625011</f>
        <v>1271.75250022</v>
      </c>
      <c r="L353" s="76">
        <f>F353 * G353 * 124797.775308999</f>
        <v>2495.9555061799801</v>
      </c>
      <c r="M353" s="76">
        <f>F353 * G353 * 13358.74475</f>
        <v>267.17489499999999</v>
      </c>
      <c r="N353" s="77">
        <f>SUM(H353:M353)</f>
        <v>26534.135221919983</v>
      </c>
      <c r="O353" s="10">
        <f>N353*1.07*1.09*1.05</f>
        <v>32494.100004791544</v>
      </c>
      <c r="P353" s="78">
        <f t="shared" si="79"/>
        <v>0.18749769194474186</v>
      </c>
    </row>
    <row r="354" spans="2:16" ht="30" x14ac:dyDescent="0.25">
      <c r="B354" s="29">
        <v>215</v>
      </c>
      <c r="C354" s="34" t="s">
        <v>801</v>
      </c>
      <c r="D354" s="35" t="s">
        <v>802</v>
      </c>
      <c r="E354" s="35" t="s">
        <v>281</v>
      </c>
      <c r="F354" s="74">
        <v>0.02</v>
      </c>
      <c r="G354" s="75">
        <v>1</v>
      </c>
      <c r="H354" s="76">
        <f>F354 * G354 * 76042.0855</f>
        <v>1520.8417100000001</v>
      </c>
      <c r="I354" s="76">
        <f>F354 * G354 * 1489935.448251</f>
        <v>29798.70896502</v>
      </c>
      <c r="J354" s="76">
        <f>F354 * G354 * 0</f>
        <v>0</v>
      </c>
      <c r="K354" s="76">
        <f>F354 * G354 * 72392.065396</f>
        <v>1447.8413079200002</v>
      </c>
      <c r="L354" s="76">
        <f>F354 * G354 * 172028.807911</f>
        <v>3440.5761582200003</v>
      </c>
      <c r="M354" s="76">
        <f>F354 * G354 * 15208.4171</f>
        <v>304.168342</v>
      </c>
      <c r="N354" s="77">
        <f>SUM(H354:M354)</f>
        <v>36512.13648316</v>
      </c>
      <c r="O354" s="10">
        <f>N354*1.07*1.09*1.05</f>
        <v>44713.310019324992</v>
      </c>
      <c r="P354" s="78">
        <f t="shared" si="79"/>
        <v>0.25800506635348863</v>
      </c>
    </row>
    <row r="355" spans="2:16" x14ac:dyDescent="0.25">
      <c r="B355" s="79"/>
      <c r="C355" s="80" t="s">
        <v>803</v>
      </c>
      <c r="D355" s="104" t="s">
        <v>804</v>
      </c>
      <c r="E355" s="104"/>
      <c r="F355" s="104"/>
      <c r="G355" s="104"/>
      <c r="H355" s="104"/>
      <c r="I355" s="104"/>
      <c r="J355" s="104"/>
      <c r="K355" s="104"/>
      <c r="L355" s="104"/>
      <c r="M355" s="104"/>
      <c r="N355" s="104"/>
      <c r="O355" s="104"/>
      <c r="P355" s="104"/>
    </row>
    <row r="356" spans="2:16" ht="30" x14ac:dyDescent="0.25">
      <c r="B356" s="29">
        <v>216</v>
      </c>
      <c r="C356" s="34" t="s">
        <v>805</v>
      </c>
      <c r="D356" s="35" t="s">
        <v>806</v>
      </c>
      <c r="E356" s="35" t="s">
        <v>281</v>
      </c>
      <c r="F356" s="74">
        <v>0.02</v>
      </c>
      <c r="G356" s="75">
        <v>1</v>
      </c>
      <c r="H356" s="76">
        <f>F356 * G356 * 84262.8515</f>
        <v>1685.2570300000002</v>
      </c>
      <c r="I356" s="76">
        <f>F356 * G356 * 10112.522572</f>
        <v>202.25045144000001</v>
      </c>
      <c r="J356" s="76">
        <f>F356 * G356 * 0</f>
        <v>0</v>
      </c>
      <c r="K356" s="76">
        <f>F356 * G356 * 80218.234628</f>
        <v>1604.3646925600001</v>
      </c>
      <c r="L356" s="76">
        <f>F356 * G356 * 18332.328913</f>
        <v>366.64657826000001</v>
      </c>
      <c r="M356" s="76">
        <f>F356 * G356 * 16852.5703</f>
        <v>337.05140599999999</v>
      </c>
      <c r="N356" s="77">
        <f>SUM(H356:M356)</f>
        <v>4195.5701582599995</v>
      </c>
      <c r="O356" s="10">
        <f>N356*1.07*1.09*1.05</f>
        <v>5137.9581493575706</v>
      </c>
      <c r="P356" s="78">
        <f t="shared" ref="P356:P358" si="80">IF($P$9&gt;0,O356/$P$9/12,0)</f>
        <v>2.9647083445030527E-2</v>
      </c>
    </row>
    <row r="357" spans="2:16" ht="30" x14ac:dyDescent="0.25">
      <c r="B357" s="29">
        <v>217</v>
      </c>
      <c r="C357" s="34" t="s">
        <v>807</v>
      </c>
      <c r="D357" s="35" t="s">
        <v>808</v>
      </c>
      <c r="E357" s="35" t="s">
        <v>281</v>
      </c>
      <c r="F357" s="74">
        <v>0.02</v>
      </c>
      <c r="G357" s="75">
        <v>1</v>
      </c>
      <c r="H357" s="76">
        <f>F357 * G357 * 110980.341</f>
        <v>2219.60682</v>
      </c>
      <c r="I357" s="76">
        <f>F357 * G357 * 32438.651718</f>
        <v>648.77303436</v>
      </c>
      <c r="J357" s="76">
        <f>F357 * G357 * 0</f>
        <v>0</v>
      </c>
      <c r="K357" s="76">
        <f>F357 * G357 * 105653.284632</f>
        <v>2113.0656926399997</v>
      </c>
      <c r="L357" s="76">
        <f>F357 * G357 * 26152.589122</f>
        <v>523.05178244000001</v>
      </c>
      <c r="M357" s="76">
        <f>F357 * G357 * 22196.0682</f>
        <v>443.92136400000004</v>
      </c>
      <c r="N357" s="77">
        <f>SUM(H357:M357)</f>
        <v>5948.4186934399995</v>
      </c>
      <c r="O357" s="10">
        <f>N357*1.07*1.09*1.05</f>
        <v>7284.5227582670259</v>
      </c>
      <c r="P357" s="78">
        <f t="shared" si="80"/>
        <v>4.2033206147965574E-2</v>
      </c>
    </row>
    <row r="358" spans="2:16" ht="30" x14ac:dyDescent="0.25">
      <c r="B358" s="29">
        <v>218</v>
      </c>
      <c r="C358" s="34" t="s">
        <v>809</v>
      </c>
      <c r="D358" s="35" t="s">
        <v>810</v>
      </c>
      <c r="E358" s="35" t="s">
        <v>281</v>
      </c>
      <c r="F358" s="74">
        <v>0.02</v>
      </c>
      <c r="G358" s="75">
        <v>1</v>
      </c>
      <c r="H358" s="76">
        <f>F358 * G358 * 164415.32</f>
        <v>3288.3064000000004</v>
      </c>
      <c r="I358" s="76">
        <f>F358 * G358 * 32558.860251</f>
        <v>651.17720501999997</v>
      </c>
      <c r="J358" s="76">
        <f>F358 * G358 * 0</f>
        <v>0</v>
      </c>
      <c r="K358" s="76">
        <f>F358 * G358 * 156523.38464</f>
        <v>3130.4676928000003</v>
      </c>
      <c r="L358" s="76">
        <f>F358 * G358 * 37117.244313</f>
        <v>742.34488626000007</v>
      </c>
      <c r="M358" s="76">
        <f>F358 * G358 * 32883.064</f>
        <v>657.66128000000003</v>
      </c>
      <c r="N358" s="77">
        <f>SUM(H358:M358)</f>
        <v>8469.9574640800001</v>
      </c>
      <c r="O358" s="10">
        <f>N358*1.07*1.09*1.05</f>
        <v>10372.436959874331</v>
      </c>
      <c r="P358" s="78">
        <f t="shared" si="80"/>
        <v>5.985111111038597E-2</v>
      </c>
    </row>
    <row r="359" spans="2:16" x14ac:dyDescent="0.25">
      <c r="B359" s="79"/>
      <c r="C359" s="80" t="s">
        <v>811</v>
      </c>
      <c r="D359" s="104" t="s">
        <v>812</v>
      </c>
      <c r="E359" s="104"/>
      <c r="F359" s="104"/>
      <c r="G359" s="104"/>
      <c r="H359" s="104"/>
      <c r="I359" s="104"/>
      <c r="J359" s="104"/>
      <c r="K359" s="104"/>
      <c r="L359" s="104"/>
      <c r="M359" s="104"/>
      <c r="N359" s="104"/>
      <c r="O359" s="104"/>
      <c r="P359" s="104"/>
    </row>
    <row r="360" spans="2:16" ht="30" x14ac:dyDescent="0.25">
      <c r="B360" s="29">
        <v>219</v>
      </c>
      <c r="C360" s="34" t="s">
        <v>813</v>
      </c>
      <c r="D360" s="35" t="s">
        <v>814</v>
      </c>
      <c r="E360" s="35" t="s">
        <v>815</v>
      </c>
      <c r="F360" s="74">
        <v>0.03</v>
      </c>
      <c r="G360" s="75">
        <v>1</v>
      </c>
      <c r="H360" s="76">
        <f>F360 * G360 * 17058.08945</f>
        <v>511.74268349999994</v>
      </c>
      <c r="I360" s="76">
        <f>F360 * G360 * 35950.208138</f>
        <v>1078.50624414</v>
      </c>
      <c r="J360" s="76">
        <f>F360 * G360 * 0</f>
        <v>0</v>
      </c>
      <c r="K360" s="76">
        <f>F360 * G360 * 16239.3011569999</f>
        <v>487.17903470999698</v>
      </c>
      <c r="L360" s="76">
        <f>F360 * G360 * 7270.997868</f>
        <v>218.12993603999999</v>
      </c>
      <c r="M360" s="76">
        <f>F360 * G360 * 3411.61789</f>
        <v>102.3485367</v>
      </c>
      <c r="N360" s="77">
        <f>SUM(H360:M360)</f>
        <v>2397.9064350899966</v>
      </c>
      <c r="O360" s="10">
        <f>N360*1.07*1.09*1.05</f>
        <v>2936.5121890077367</v>
      </c>
      <c r="P360" s="78">
        <f>IF($P$9&gt;0,O360/$P$9/12,0)</f>
        <v>1.6944283969254816E-2</v>
      </c>
    </row>
    <row r="361" spans="2:16" x14ac:dyDescent="0.25">
      <c r="B361" s="79"/>
      <c r="C361" s="80" t="s">
        <v>816</v>
      </c>
      <c r="D361" s="104" t="s">
        <v>817</v>
      </c>
      <c r="E361" s="104"/>
      <c r="F361" s="104"/>
      <c r="G361" s="104"/>
      <c r="H361" s="104"/>
      <c r="I361" s="104"/>
      <c r="J361" s="104"/>
      <c r="K361" s="104"/>
      <c r="L361" s="104"/>
      <c r="M361" s="104"/>
      <c r="N361" s="104"/>
      <c r="O361" s="104"/>
      <c r="P361" s="104"/>
    </row>
    <row r="362" spans="2:16" ht="30" x14ac:dyDescent="0.25">
      <c r="B362" s="29">
        <v>220</v>
      </c>
      <c r="C362" s="34" t="s">
        <v>818</v>
      </c>
      <c r="D362" s="35" t="s">
        <v>819</v>
      </c>
      <c r="E362" s="35" t="s">
        <v>815</v>
      </c>
      <c r="F362" s="74">
        <v>0.03</v>
      </c>
      <c r="G362" s="75">
        <v>1</v>
      </c>
      <c r="H362" s="76">
        <f>F362 * G362 * 12483.9693</f>
        <v>374.51907900000003</v>
      </c>
      <c r="I362" s="76">
        <f>F362 * G362 * 20633.532092</f>
        <v>619.00596275999999</v>
      </c>
      <c r="J362" s="76">
        <f>F362 * G362 * 0</f>
        <v>0</v>
      </c>
      <c r="K362" s="76">
        <f>F362 * G362 * 11884.738774</f>
        <v>356.54216321999996</v>
      </c>
      <c r="L362" s="76">
        <f>F362 * G362 * 4725.235218</f>
        <v>141.75705653999998</v>
      </c>
      <c r="M362" s="76">
        <f>F362 * G362 * 2496.79386</f>
        <v>74.903815800000004</v>
      </c>
      <c r="N362" s="77">
        <f>SUM(H362:M362)</f>
        <v>1566.72807732</v>
      </c>
      <c r="O362" s="10">
        <f>N362*1.07*1.09*1.05</f>
        <v>1918.6387044072321</v>
      </c>
      <c r="P362" s="78">
        <f>IF($P$9&gt;0,O362/$P$9/12,0)</f>
        <v>1.1070942992702027E-2</v>
      </c>
    </row>
    <row r="363" spans="2:16" x14ac:dyDescent="0.25">
      <c r="B363" s="79"/>
      <c r="C363" s="80" t="s">
        <v>820</v>
      </c>
      <c r="D363" s="104" t="s">
        <v>821</v>
      </c>
      <c r="E363" s="104"/>
      <c r="F363" s="104"/>
      <c r="G363" s="104"/>
      <c r="H363" s="104"/>
      <c r="I363" s="104"/>
      <c r="J363" s="104"/>
      <c r="K363" s="104"/>
      <c r="L363" s="104"/>
      <c r="M363" s="104"/>
      <c r="N363" s="104"/>
      <c r="O363" s="104"/>
      <c r="P363" s="104"/>
    </row>
    <row r="364" spans="2:16" x14ac:dyDescent="0.25">
      <c r="B364" s="29">
        <v>221</v>
      </c>
      <c r="C364" s="34" t="s">
        <v>822</v>
      </c>
      <c r="D364" s="35" t="s">
        <v>823</v>
      </c>
      <c r="E364" s="35" t="s">
        <v>824</v>
      </c>
      <c r="F364" s="74">
        <v>0.02</v>
      </c>
      <c r="G364" s="75">
        <v>1</v>
      </c>
      <c r="H364" s="76">
        <f>F364 * G364 * 11858.1424</f>
        <v>237.16284800000003</v>
      </c>
      <c r="I364" s="76">
        <f>F364 * G364 * 37939.779207</f>
        <v>758.79558413999996</v>
      </c>
      <c r="J364" s="76">
        <f>F364 * G364 * 0</f>
        <v>0</v>
      </c>
      <c r="K364" s="76">
        <f>F364 * G364 * 11288.951565</f>
        <v>225.77903129999999</v>
      </c>
      <c r="L364" s="76">
        <f>F364 * G364 * 6414.121683</f>
        <v>128.28243366000001</v>
      </c>
      <c r="M364" s="76">
        <f>F364 * G364 * 2371.62848</f>
        <v>47.432569600000001</v>
      </c>
      <c r="N364" s="77">
        <f>SUM(H364:M364)</f>
        <v>1397.4524667000001</v>
      </c>
      <c r="O364" s="10">
        <f>N364*1.07*1.09*1.05</f>
        <v>1711.3412525078209</v>
      </c>
      <c r="P364" s="78">
        <f>IF($P$9&gt;0,O364/$P$9/12,0)</f>
        <v>9.8747937295608924E-3</v>
      </c>
    </row>
    <row r="365" spans="2:16" x14ac:dyDescent="0.25">
      <c r="B365" s="79"/>
      <c r="C365" s="80" t="s">
        <v>825</v>
      </c>
      <c r="D365" s="103" t="s">
        <v>826</v>
      </c>
      <c r="E365" s="103"/>
      <c r="F365" s="103"/>
      <c r="G365" s="103"/>
      <c r="H365" s="103"/>
      <c r="I365" s="103"/>
      <c r="J365" s="103"/>
      <c r="K365" s="103"/>
      <c r="L365" s="103"/>
      <c r="M365" s="103"/>
      <c r="N365" s="103"/>
      <c r="O365" s="103"/>
      <c r="P365" s="103"/>
    </row>
    <row r="366" spans="2:16" x14ac:dyDescent="0.25">
      <c r="B366" s="79"/>
      <c r="C366" s="80" t="s">
        <v>827</v>
      </c>
      <c r="D366" s="104" t="s">
        <v>828</v>
      </c>
      <c r="E366" s="104"/>
      <c r="F366" s="104"/>
      <c r="G366" s="104"/>
      <c r="H366" s="104"/>
      <c r="I366" s="104"/>
      <c r="J366" s="104"/>
      <c r="K366" s="104"/>
      <c r="L366" s="104"/>
      <c r="M366" s="104"/>
      <c r="N366" s="104"/>
      <c r="O366" s="104"/>
      <c r="P366" s="104"/>
    </row>
    <row r="367" spans="2:16" ht="30" x14ac:dyDescent="0.25">
      <c r="B367" s="29">
        <v>222</v>
      </c>
      <c r="C367" s="34" t="s">
        <v>829</v>
      </c>
      <c r="D367" s="35" t="s">
        <v>830</v>
      </c>
      <c r="E367" s="35" t="s">
        <v>831</v>
      </c>
      <c r="F367" s="74">
        <v>3</v>
      </c>
      <c r="G367" s="75">
        <v>1</v>
      </c>
      <c r="H367" s="76">
        <f>F367 * G367 * 86.655656</f>
        <v>259.96696799999995</v>
      </c>
      <c r="I367" s="76">
        <f>F367 * G367 * 404.57232</f>
        <v>1213.71696</v>
      </c>
      <c r="J367" s="76">
        <f>F367 * G367 * 0</f>
        <v>0</v>
      </c>
      <c r="K367" s="76">
        <f>F367 * G367 * 82.496184</f>
        <v>247.488552</v>
      </c>
      <c r="L367" s="76">
        <f>F367 * G367 * 60.241037</f>
        <v>180.72311099999999</v>
      </c>
      <c r="M367" s="76">
        <f>F367 * G367 * 17.331131</f>
        <v>51.993392999999998</v>
      </c>
      <c r="N367" s="77">
        <f>SUM(H367:M367)</f>
        <v>1953.8889839999999</v>
      </c>
      <c r="O367" s="10">
        <f>N367*1.07*1.09*1.05</f>
        <v>2392.7617581411605</v>
      </c>
      <c r="P367" s="78">
        <f t="shared" ref="P367:P368" si="81">IF($P$9&gt;0,O367/$P$9/12,0)</f>
        <v>1.3806731282262154E-2</v>
      </c>
    </row>
    <row r="368" spans="2:16" ht="30" x14ac:dyDescent="0.25">
      <c r="B368" s="29">
        <v>223</v>
      </c>
      <c r="C368" s="34" t="s">
        <v>832</v>
      </c>
      <c r="D368" s="35" t="s">
        <v>833</v>
      </c>
      <c r="E368" s="35" t="s">
        <v>831</v>
      </c>
      <c r="F368" s="74">
        <v>4</v>
      </c>
      <c r="G368" s="75">
        <v>1</v>
      </c>
      <c r="H368" s="76">
        <f>F368 * G368 * 86.655656</f>
        <v>346.62262399999997</v>
      </c>
      <c r="I368" s="76">
        <f>F368 * G368 * 632.772</f>
        <v>2531.0880000000002</v>
      </c>
      <c r="J368" s="76">
        <f>F368 * G368 * 0</f>
        <v>0</v>
      </c>
      <c r="K368" s="76">
        <f>F368 * G368 * 82.496184</f>
        <v>329.984736</v>
      </c>
      <c r="L368" s="76">
        <f>F368 * G368 * 84.202003</f>
        <v>336.80801200000002</v>
      </c>
      <c r="M368" s="76">
        <f>F368 * G368 * 17.331131</f>
        <v>69.324523999999997</v>
      </c>
      <c r="N368" s="77">
        <f>SUM(H368:M368)</f>
        <v>3613.8278960000002</v>
      </c>
      <c r="O368" s="10">
        <f>N368*1.07*1.09*1.05</f>
        <v>4425.5478488600411</v>
      </c>
      <c r="P368" s="78">
        <f t="shared" si="81"/>
        <v>2.5536328352836871E-2</v>
      </c>
    </row>
    <row r="369" spans="2:16" x14ac:dyDescent="0.25">
      <c r="B369" s="79"/>
      <c r="C369" s="80" t="s">
        <v>834</v>
      </c>
      <c r="D369" s="104" t="s">
        <v>835</v>
      </c>
      <c r="E369" s="104"/>
      <c r="F369" s="104"/>
      <c r="G369" s="104"/>
      <c r="H369" s="104"/>
      <c r="I369" s="104"/>
      <c r="J369" s="104"/>
      <c r="K369" s="104"/>
      <c r="L369" s="104"/>
      <c r="M369" s="104"/>
      <c r="N369" s="104"/>
      <c r="O369" s="104"/>
      <c r="P369" s="104"/>
    </row>
    <row r="370" spans="2:16" ht="30" x14ac:dyDescent="0.25">
      <c r="B370" s="29">
        <v>224</v>
      </c>
      <c r="C370" s="34" t="s">
        <v>836</v>
      </c>
      <c r="D370" s="35" t="s">
        <v>837</v>
      </c>
      <c r="E370" s="35" t="s">
        <v>831</v>
      </c>
      <c r="F370" s="74">
        <v>3</v>
      </c>
      <c r="G370" s="75">
        <v>1</v>
      </c>
      <c r="H370" s="76">
        <f>F370 * G370 * 86.655656</f>
        <v>259.96696799999995</v>
      </c>
      <c r="I370" s="76">
        <f>F370 * G370 * 1234.50804</f>
        <v>3703.52412</v>
      </c>
      <c r="J370" s="76">
        <f>F370 * G370 * 0</f>
        <v>0</v>
      </c>
      <c r="K370" s="76">
        <f>F370 * G370 * 82.496184</f>
        <v>247.488552</v>
      </c>
      <c r="L370" s="76">
        <f>F370 * G370 * 147.384287</f>
        <v>442.15286100000003</v>
      </c>
      <c r="M370" s="76">
        <f>F370 * G370 * 17.331131</f>
        <v>51.993392999999998</v>
      </c>
      <c r="N370" s="77">
        <f>SUM(H370:M370)</f>
        <v>4705.1258939999998</v>
      </c>
      <c r="O370" s="10">
        <f>N370*1.07*1.09*1.05</f>
        <v>5761.9677466808107</v>
      </c>
      <c r="P370" s="78">
        <f t="shared" ref="P370:P372" si="82">IF($P$9&gt;0,O370/$P$9/12,0)</f>
        <v>3.3247748157462093E-2</v>
      </c>
    </row>
    <row r="371" spans="2:16" ht="30" x14ac:dyDescent="0.25">
      <c r="B371" s="29">
        <v>225</v>
      </c>
      <c r="C371" s="34" t="s">
        <v>838</v>
      </c>
      <c r="D371" s="35" t="s">
        <v>839</v>
      </c>
      <c r="E371" s="35" t="s">
        <v>831</v>
      </c>
      <c r="F371" s="74">
        <v>3</v>
      </c>
      <c r="G371" s="75">
        <v>1</v>
      </c>
      <c r="H371" s="76">
        <f>F371 * G371 * 86.655656</f>
        <v>259.96696799999995</v>
      </c>
      <c r="I371" s="76">
        <f>F371 * G371 * 1890.2808</f>
        <v>5670.8423999999995</v>
      </c>
      <c r="J371" s="76">
        <f>F371 * G371 * 0</f>
        <v>0</v>
      </c>
      <c r="K371" s="76">
        <f>F371 * G371 * 82.496184</f>
        <v>247.488552</v>
      </c>
      <c r="L371" s="76">
        <f>F371 * G371 * 216.240427</f>
        <v>648.72128100000009</v>
      </c>
      <c r="M371" s="76">
        <f>F371 * G371 * 17.331131</f>
        <v>51.993392999999998</v>
      </c>
      <c r="N371" s="77">
        <f>SUM(H371:M371)</f>
        <v>6879.0125939999989</v>
      </c>
      <c r="O371" s="10">
        <f>N371*1.07*1.09*1.05</f>
        <v>8424.1420078013089</v>
      </c>
      <c r="P371" s="78">
        <f t="shared" si="82"/>
        <v>4.8609045421925103E-2</v>
      </c>
    </row>
    <row r="372" spans="2:16" ht="45" x14ac:dyDescent="0.25">
      <c r="B372" s="29">
        <v>226</v>
      </c>
      <c r="C372" s="34" t="s">
        <v>840</v>
      </c>
      <c r="D372" s="35" t="s">
        <v>841</v>
      </c>
      <c r="E372" s="35" t="s">
        <v>842</v>
      </c>
      <c r="F372" s="74"/>
      <c r="G372" s="75">
        <v>2</v>
      </c>
      <c r="H372" s="76">
        <f>F372 * G372 * 13171.2352</f>
        <v>0</v>
      </c>
      <c r="I372" s="76">
        <f>F372 * G372 * 0</f>
        <v>0</v>
      </c>
      <c r="J372" s="76">
        <f>F372 * G372 * 0</f>
        <v>0</v>
      </c>
      <c r="K372" s="76">
        <f>F372 * G372 * 12539.0159099999</f>
        <v>0</v>
      </c>
      <c r="L372" s="76">
        <f>F372 * G372 * 2699.576367</f>
        <v>0</v>
      </c>
      <c r="M372" s="76">
        <f>F372 * G372 * 2634.24704</f>
        <v>0</v>
      </c>
      <c r="N372" s="77">
        <f>SUM(H372:M372)</f>
        <v>0</v>
      </c>
      <c r="O372" s="10">
        <f>N372*1.07*1.09*1.05</f>
        <v>0</v>
      </c>
      <c r="P372" s="78">
        <f t="shared" si="82"/>
        <v>0</v>
      </c>
    </row>
    <row r="373" spans="2:16" ht="15" customHeight="1" x14ac:dyDescent="0.25">
      <c r="B373" s="19"/>
      <c r="C373" s="20" t="s">
        <v>327</v>
      </c>
      <c r="D373" s="102" t="s">
        <v>328</v>
      </c>
      <c r="E373" s="102"/>
      <c r="F373" s="102"/>
      <c r="G373" s="102"/>
      <c r="H373" s="102"/>
      <c r="I373" s="102"/>
      <c r="J373" s="102"/>
      <c r="K373" s="102"/>
      <c r="L373" s="102"/>
      <c r="M373" s="102"/>
      <c r="N373" s="102"/>
      <c r="O373" s="102"/>
      <c r="P373" s="102"/>
    </row>
    <row r="374" spans="2:16" x14ac:dyDescent="0.25">
      <c r="B374" s="79"/>
      <c r="C374" s="80" t="s">
        <v>843</v>
      </c>
      <c r="D374" s="103" t="s">
        <v>844</v>
      </c>
      <c r="E374" s="103"/>
      <c r="F374" s="103"/>
      <c r="G374" s="103"/>
      <c r="H374" s="103"/>
      <c r="I374" s="103"/>
      <c r="J374" s="103"/>
      <c r="K374" s="103"/>
      <c r="L374" s="103"/>
      <c r="M374" s="103"/>
      <c r="N374" s="103"/>
      <c r="O374" s="103"/>
      <c r="P374" s="103"/>
    </row>
    <row r="375" spans="2:16" x14ac:dyDescent="0.25">
      <c r="B375" s="79"/>
      <c r="C375" s="80" t="s">
        <v>845</v>
      </c>
      <c r="D375" s="104" t="s">
        <v>846</v>
      </c>
      <c r="E375" s="104"/>
      <c r="F375" s="104"/>
      <c r="G375" s="104"/>
      <c r="H375" s="104"/>
      <c r="I375" s="104"/>
      <c r="J375" s="104"/>
      <c r="K375" s="104"/>
      <c r="L375" s="104"/>
      <c r="M375" s="104"/>
      <c r="N375" s="104"/>
      <c r="O375" s="104"/>
      <c r="P375" s="104"/>
    </row>
    <row r="376" spans="2:16" ht="45" x14ac:dyDescent="0.25">
      <c r="B376" s="29">
        <v>227</v>
      </c>
      <c r="C376" s="34" t="s">
        <v>847</v>
      </c>
      <c r="D376" s="35" t="s">
        <v>848</v>
      </c>
      <c r="E376" s="35" t="s">
        <v>849</v>
      </c>
      <c r="F376" s="74">
        <v>1.95</v>
      </c>
      <c r="G376" s="75">
        <v>1</v>
      </c>
      <c r="H376" s="76">
        <f>F376 * G376 * 912.1648</f>
        <v>1778.72136</v>
      </c>
      <c r="I376" s="76">
        <f>F376 * G376 * 0</f>
        <v>0</v>
      </c>
      <c r="J376" s="76">
        <f>F376 * G376 * 0</f>
        <v>0</v>
      </c>
      <c r="K376" s="76">
        <f>F376 * G376 * 868.380889999999</f>
        <v>1693.3427354999981</v>
      </c>
      <c r="L376" s="76">
        <f>F376 * G376 * 186.957296999999</f>
        <v>364.56672914999803</v>
      </c>
      <c r="M376" s="76">
        <f>F376 * G376 * 182.43296</f>
        <v>355.74427200000002</v>
      </c>
      <c r="N376" s="77">
        <f>SUM(H376:M376)</f>
        <v>4192.3750966499965</v>
      </c>
      <c r="O376" s="10">
        <f>N376*1.07*1.09*1.05</f>
        <v>5134.0454289840354</v>
      </c>
      <c r="P376" s="78">
        <f>IF($P$9&gt;0,O376/$P$9/12,0)</f>
        <v>2.9624506237501933E-2</v>
      </c>
    </row>
    <row r="377" spans="2:16" x14ac:dyDescent="0.25">
      <c r="B377" s="79"/>
      <c r="C377" s="80" t="s">
        <v>850</v>
      </c>
      <c r="D377" s="104" t="s">
        <v>851</v>
      </c>
      <c r="E377" s="104"/>
      <c r="F377" s="104"/>
      <c r="G377" s="104"/>
      <c r="H377" s="104"/>
      <c r="I377" s="104"/>
      <c r="J377" s="104"/>
      <c r="K377" s="104"/>
      <c r="L377" s="104"/>
      <c r="M377" s="104"/>
      <c r="N377" s="104"/>
      <c r="O377" s="104"/>
      <c r="P377" s="104"/>
    </row>
    <row r="378" spans="2:16" ht="30" x14ac:dyDescent="0.25">
      <c r="B378" s="29">
        <v>228</v>
      </c>
      <c r="C378" s="34" t="s">
        <v>852</v>
      </c>
      <c r="D378" s="35" t="s">
        <v>853</v>
      </c>
      <c r="E378" s="35" t="s">
        <v>530</v>
      </c>
      <c r="F378" s="74">
        <v>0.504</v>
      </c>
      <c r="G378" s="75">
        <v>1</v>
      </c>
      <c r="H378" s="76">
        <f>F378 * G378 * 847.96272</f>
        <v>427.37321087999999</v>
      </c>
      <c r="I378" s="76">
        <f>F378 * G378 * 0</f>
        <v>0</v>
      </c>
      <c r="J378" s="76">
        <f>F378 * G378 * 68.63325</f>
        <v>34.591158</v>
      </c>
      <c r="K378" s="76">
        <f>F378 * G378 * 807.260509</f>
        <v>406.85929653599999</v>
      </c>
      <c r="L378" s="76">
        <f>F378 * G378 * 181.00493</f>
        <v>91.226484720000002</v>
      </c>
      <c r="M378" s="76">
        <f>F378 * G378 * 169.592544</f>
        <v>85.474642176000003</v>
      </c>
      <c r="N378" s="77">
        <f t="shared" ref="N378:N384" si="83">SUM(H378:M378)</f>
        <v>1045.524792312</v>
      </c>
      <c r="O378" s="10">
        <f t="shared" ref="O378:O384" si="84">N378*1.07*1.09*1.05</f>
        <v>1280.36534353716</v>
      </c>
      <c r="P378" s="78">
        <f t="shared" ref="P378:P384" si="85">IF($P$9&gt;0,O378/$P$9/12,0)</f>
        <v>7.3879734082142358E-3</v>
      </c>
    </row>
    <row r="379" spans="2:16" ht="30" x14ac:dyDescent="0.25">
      <c r="B379" s="29">
        <v>229</v>
      </c>
      <c r="C379" s="34" t="s">
        <v>854</v>
      </c>
      <c r="D379" s="35" t="s">
        <v>855</v>
      </c>
      <c r="E379" s="35" t="s">
        <v>530</v>
      </c>
      <c r="F379" s="74">
        <v>0.504</v>
      </c>
      <c r="G379" s="75">
        <v>1</v>
      </c>
      <c r="H379" s="76">
        <f>F379 * G379 * 794.001456</f>
        <v>400.176733824</v>
      </c>
      <c r="I379" s="76">
        <f>F379 * G379 * 8.09838</f>
        <v>4.0815835200000006</v>
      </c>
      <c r="J379" s="76">
        <f>F379 * G379 * 0</f>
        <v>0</v>
      </c>
      <c r="K379" s="76">
        <f>F379 * G379 * 755.889386</f>
        <v>380.968250544</v>
      </c>
      <c r="L379" s="76">
        <f>F379 * G379 * 163.588868</f>
        <v>82.448789472000001</v>
      </c>
      <c r="M379" s="76">
        <f>F379 * G379 * 158.800291</f>
        <v>80.035346663999988</v>
      </c>
      <c r="N379" s="77">
        <f t="shared" si="83"/>
        <v>947.71070402400005</v>
      </c>
      <c r="O379" s="10">
        <f t="shared" si="84"/>
        <v>1160.5807438083509</v>
      </c>
      <c r="P379" s="78">
        <f t="shared" si="85"/>
        <v>6.6967914405227291E-3</v>
      </c>
    </row>
    <row r="380" spans="2:16" ht="30" x14ac:dyDescent="0.25">
      <c r="B380" s="29">
        <v>230</v>
      </c>
      <c r="C380" s="34" t="s">
        <v>856</v>
      </c>
      <c r="D380" s="35" t="s">
        <v>857</v>
      </c>
      <c r="E380" s="35" t="s">
        <v>530</v>
      </c>
      <c r="F380" s="74">
        <v>0.504</v>
      </c>
      <c r="G380" s="75">
        <v>1</v>
      </c>
      <c r="H380" s="76">
        <f>F380 * G380 * 334.045917</f>
        <v>168.35914216799998</v>
      </c>
      <c r="I380" s="76">
        <f>F380 * G380 * 0</f>
        <v>0</v>
      </c>
      <c r="J380" s="76">
        <f>F380 * G380 * 68.63325</f>
        <v>34.591158</v>
      </c>
      <c r="K380" s="76">
        <f>F380 * G380 * 318.011713</f>
        <v>160.27790335199998</v>
      </c>
      <c r="L380" s="76">
        <f>F380 * G380 * 75.6725419999999</f>
        <v>38.138961167999945</v>
      </c>
      <c r="M380" s="76">
        <f>F380 * G380 * 66.809183</f>
        <v>33.671828232000003</v>
      </c>
      <c r="N380" s="77">
        <f t="shared" si="83"/>
        <v>435.03899291999988</v>
      </c>
      <c r="O380" s="10">
        <f t="shared" si="84"/>
        <v>532.75527631472573</v>
      </c>
      <c r="P380" s="78">
        <f t="shared" si="85"/>
        <v>3.0741083663084856E-3</v>
      </c>
    </row>
    <row r="381" spans="2:16" ht="30" x14ac:dyDescent="0.25">
      <c r="B381" s="29">
        <v>231</v>
      </c>
      <c r="C381" s="34" t="s">
        <v>858</v>
      </c>
      <c r="D381" s="35" t="s">
        <v>859</v>
      </c>
      <c r="E381" s="35" t="s">
        <v>530</v>
      </c>
      <c r="F381" s="74">
        <v>0.56999999999999995</v>
      </c>
      <c r="G381" s="75">
        <v>1</v>
      </c>
      <c r="H381" s="76">
        <f>F381 * G381 * 847.96272</f>
        <v>483.33875039999998</v>
      </c>
      <c r="I381" s="76">
        <f>F381 * G381 * 0</f>
        <v>0</v>
      </c>
      <c r="J381" s="76">
        <f>F381 * G381 * 68.63325</f>
        <v>39.120952500000001</v>
      </c>
      <c r="K381" s="76">
        <f>F381 * G381 * 807.260509</f>
        <v>460.13849012999992</v>
      </c>
      <c r="L381" s="76">
        <f>F381 * G381 * 181.00493</f>
        <v>103.17281009999999</v>
      </c>
      <c r="M381" s="76">
        <f>F381 * G381 * 169.592544</f>
        <v>96.66775007999999</v>
      </c>
      <c r="N381" s="77">
        <f t="shared" si="83"/>
        <v>1182.4387532099997</v>
      </c>
      <c r="O381" s="10">
        <f t="shared" si="84"/>
        <v>1448.0322337622642</v>
      </c>
      <c r="P381" s="78">
        <f t="shared" si="85"/>
        <v>8.355446116432767E-3</v>
      </c>
    </row>
    <row r="382" spans="2:16" ht="30" x14ac:dyDescent="0.25">
      <c r="B382" s="29">
        <v>232</v>
      </c>
      <c r="C382" s="34" t="s">
        <v>860</v>
      </c>
      <c r="D382" s="35" t="s">
        <v>861</v>
      </c>
      <c r="E382" s="35" t="s">
        <v>530</v>
      </c>
      <c r="F382" s="74">
        <v>0.56999999999999995</v>
      </c>
      <c r="G382" s="75">
        <v>1</v>
      </c>
      <c r="H382" s="76">
        <f>F382 * G382 * 794.001456</f>
        <v>452.58082991999993</v>
      </c>
      <c r="I382" s="76">
        <f>F382 * G382 * 8.09838</f>
        <v>4.6160765999999995</v>
      </c>
      <c r="J382" s="76">
        <f>F382 * G382 * 0</f>
        <v>0</v>
      </c>
      <c r="K382" s="76">
        <f>F382 * G382 * 755.889386</f>
        <v>430.85695001999994</v>
      </c>
      <c r="L382" s="76">
        <f>F382 * G382 * 163.588868</f>
        <v>93.245654759999994</v>
      </c>
      <c r="M382" s="76">
        <f>F382 * G382 * 158.800291</f>
        <v>90.51616586999998</v>
      </c>
      <c r="N382" s="77">
        <f t="shared" si="83"/>
        <v>1071.8156771699998</v>
      </c>
      <c r="O382" s="10">
        <f t="shared" si="84"/>
        <v>1312.5615554975398</v>
      </c>
      <c r="P382" s="78">
        <f t="shared" si="85"/>
        <v>7.5737522244007051E-3</v>
      </c>
    </row>
    <row r="383" spans="2:16" ht="30" x14ac:dyDescent="0.25">
      <c r="B383" s="29">
        <v>233</v>
      </c>
      <c r="C383" s="34" t="s">
        <v>862</v>
      </c>
      <c r="D383" s="35" t="s">
        <v>863</v>
      </c>
      <c r="E383" s="35" t="s">
        <v>530</v>
      </c>
      <c r="F383" s="74">
        <v>0.56999999999999995</v>
      </c>
      <c r="G383" s="75">
        <v>1</v>
      </c>
      <c r="H383" s="76">
        <f>F383 * G383 * 331.476336</f>
        <v>188.94151151999998</v>
      </c>
      <c r="I383" s="76">
        <f>F383 * G383 * 0</f>
        <v>0</v>
      </c>
      <c r="J383" s="76">
        <f>F383 * G383 * 68.63325</f>
        <v>39.120952500000001</v>
      </c>
      <c r="K383" s="76">
        <f>F383 * G383 * 315.565471</f>
        <v>179.87231846999998</v>
      </c>
      <c r="L383" s="76">
        <f>F383 * G383 * 75.1458809999999</f>
        <v>42.833152169999941</v>
      </c>
      <c r="M383" s="76">
        <f>F383 * G383 * 66.295267</f>
        <v>37.788302189999996</v>
      </c>
      <c r="N383" s="77">
        <f t="shared" si="83"/>
        <v>488.55623684999989</v>
      </c>
      <c r="O383" s="10">
        <f t="shared" si="84"/>
        <v>598.29329599006269</v>
      </c>
      <c r="P383" s="78">
        <f t="shared" si="85"/>
        <v>3.4522763236282065E-3</v>
      </c>
    </row>
    <row r="384" spans="2:16" ht="30" x14ac:dyDescent="0.25">
      <c r="B384" s="29">
        <v>234</v>
      </c>
      <c r="C384" s="34" t="s">
        <v>864</v>
      </c>
      <c r="D384" s="35" t="s">
        <v>865</v>
      </c>
      <c r="E384" s="35" t="s">
        <v>530</v>
      </c>
      <c r="F384" s="74">
        <v>0.56999999999999995</v>
      </c>
      <c r="G384" s="75">
        <v>1</v>
      </c>
      <c r="H384" s="76">
        <f>F384 * G384 * 24.29286</f>
        <v>13.846930199999999</v>
      </c>
      <c r="I384" s="76">
        <f>F384 * G384 * 0</f>
        <v>0</v>
      </c>
      <c r="J384" s="76">
        <f>F384 * G384 * 0</f>
        <v>0</v>
      </c>
      <c r="K384" s="76">
        <f>F384 * G384 * 23.126803</f>
        <v>13.182277709999997</v>
      </c>
      <c r="L384" s="76">
        <f>F384 * G384 * 4.97906399999999</f>
        <v>2.8380664799999944</v>
      </c>
      <c r="M384" s="76">
        <f>F384 * G384 * 4.858572</f>
        <v>2.7693860399999997</v>
      </c>
      <c r="N384" s="77">
        <f t="shared" si="83"/>
        <v>32.636660429999992</v>
      </c>
      <c r="O384" s="10">
        <f t="shared" si="84"/>
        <v>39.967343912484452</v>
      </c>
      <c r="P384" s="78">
        <f t="shared" si="85"/>
        <v>2.3061985824034329E-4</v>
      </c>
    </row>
    <row r="385" spans="2:16" x14ac:dyDescent="0.25">
      <c r="B385" s="79"/>
      <c r="C385" s="80" t="s">
        <v>866</v>
      </c>
      <c r="D385" s="104" t="s">
        <v>867</v>
      </c>
      <c r="E385" s="104"/>
      <c r="F385" s="104"/>
      <c r="G385" s="104"/>
      <c r="H385" s="104"/>
      <c r="I385" s="104"/>
      <c r="J385" s="104"/>
      <c r="K385" s="104"/>
      <c r="L385" s="104"/>
      <c r="M385" s="104"/>
      <c r="N385" s="104"/>
      <c r="O385" s="104"/>
      <c r="P385" s="104"/>
    </row>
    <row r="386" spans="2:16" ht="30" x14ac:dyDescent="0.25">
      <c r="B386" s="29">
        <v>235</v>
      </c>
      <c r="C386" s="34" t="s">
        <v>868</v>
      </c>
      <c r="D386" s="35" t="s">
        <v>869</v>
      </c>
      <c r="E386" s="35" t="s">
        <v>870</v>
      </c>
      <c r="F386" s="74">
        <v>30.344000000000001</v>
      </c>
      <c r="G386" s="75">
        <v>1</v>
      </c>
      <c r="H386" s="76">
        <f>F386 * G386 * 187.25954</f>
        <v>5682.2034817599997</v>
      </c>
      <c r="I386" s="76">
        <f>F386 * G386 * 0</f>
        <v>0</v>
      </c>
      <c r="J386" s="76">
        <f>F386 * G386 * 0</f>
        <v>0</v>
      </c>
      <c r="K386" s="76">
        <f>F386 * G386 * 178.271081999999</f>
        <v>5409.45771220797</v>
      </c>
      <c r="L386" s="76">
        <f>F386 * G386 * 38.3807149999999</f>
        <v>1164.6244159599971</v>
      </c>
      <c r="M386" s="76">
        <f>F386 * G386 * 37.451908</f>
        <v>1136.440696352</v>
      </c>
      <c r="N386" s="77">
        <f>SUM(H386:M386)</f>
        <v>13392.726306279967</v>
      </c>
      <c r="O386" s="10">
        <f>N386*1.07*1.09*1.05</f>
        <v>16400.933525565044</v>
      </c>
      <c r="P386" s="78">
        <f t="shared" ref="P386:P387" si="86">IF($P$9&gt;0,O386/$P$9/12,0)</f>
        <v>9.463678579585609E-2</v>
      </c>
    </row>
    <row r="387" spans="2:16" ht="30" x14ac:dyDescent="0.25">
      <c r="B387" s="29">
        <v>236</v>
      </c>
      <c r="C387" s="34" t="s">
        <v>871</v>
      </c>
      <c r="D387" s="35" t="s">
        <v>872</v>
      </c>
      <c r="E387" s="35" t="s">
        <v>870</v>
      </c>
      <c r="F387" s="74">
        <v>30.344000000000001</v>
      </c>
      <c r="G387" s="75">
        <v>1</v>
      </c>
      <c r="H387" s="76">
        <f>F387 * G387 * 187.25954</f>
        <v>5682.2034817599997</v>
      </c>
      <c r="I387" s="76">
        <f>F387 * G387 * 0</f>
        <v>0</v>
      </c>
      <c r="J387" s="76">
        <f>F387 * G387 * 0</f>
        <v>0</v>
      </c>
      <c r="K387" s="76">
        <f>F387 * G387 * 178.271081999999</f>
        <v>5409.45771220797</v>
      </c>
      <c r="L387" s="76">
        <f>F387 * G387 * 38.3807149999999</f>
        <v>1164.6244159599971</v>
      </c>
      <c r="M387" s="76">
        <f>F387 * G387 * 37.451908</f>
        <v>1136.440696352</v>
      </c>
      <c r="N387" s="77">
        <f>SUM(H387:M387)</f>
        <v>13392.726306279967</v>
      </c>
      <c r="O387" s="10">
        <f>N387*1.07*1.09*1.05</f>
        <v>16400.933525565044</v>
      </c>
      <c r="P387" s="78">
        <f t="shared" si="86"/>
        <v>9.463678579585609E-2</v>
      </c>
    </row>
    <row r="388" spans="2:16" x14ac:dyDescent="0.25">
      <c r="B388" s="79"/>
      <c r="C388" s="80" t="s">
        <v>670</v>
      </c>
      <c r="D388" s="103" t="s">
        <v>671</v>
      </c>
      <c r="E388" s="103"/>
      <c r="F388" s="103"/>
      <c r="G388" s="103"/>
      <c r="H388" s="103"/>
      <c r="I388" s="103"/>
      <c r="J388" s="103"/>
      <c r="K388" s="103"/>
      <c r="L388" s="103"/>
      <c r="M388" s="103"/>
      <c r="N388" s="103"/>
      <c r="O388" s="103"/>
      <c r="P388" s="103"/>
    </row>
    <row r="389" spans="2:16" x14ac:dyDescent="0.25">
      <c r="B389" s="79"/>
      <c r="C389" s="80" t="s">
        <v>873</v>
      </c>
      <c r="D389" s="104" t="s">
        <v>874</v>
      </c>
      <c r="E389" s="104"/>
      <c r="F389" s="104"/>
      <c r="G389" s="104"/>
      <c r="H389" s="104"/>
      <c r="I389" s="104"/>
      <c r="J389" s="104"/>
      <c r="K389" s="104"/>
      <c r="L389" s="104"/>
      <c r="M389" s="104"/>
      <c r="N389" s="104"/>
      <c r="O389" s="104"/>
      <c r="P389" s="104"/>
    </row>
    <row r="390" spans="2:16" ht="45" x14ac:dyDescent="0.25">
      <c r="B390" s="29">
        <v>237</v>
      </c>
      <c r="C390" s="34" t="s">
        <v>875</v>
      </c>
      <c r="D390" s="35" t="s">
        <v>876</v>
      </c>
      <c r="E390" s="35" t="s">
        <v>877</v>
      </c>
      <c r="F390" s="74">
        <v>1</v>
      </c>
      <c r="G390" s="75">
        <v>1</v>
      </c>
      <c r="H390" s="76">
        <f>F390 * G390 * 22.80412</f>
        <v>22.804120000000001</v>
      </c>
      <c r="I390" s="76">
        <f>F390 * G390 * 0</f>
        <v>0</v>
      </c>
      <c r="J390" s="76">
        <f>F390 * G390 * 0</f>
        <v>0</v>
      </c>
      <c r="K390" s="76">
        <f>F390 * G390 * 21.709522</f>
        <v>21.709522</v>
      </c>
      <c r="L390" s="76">
        <f>F390 * G390 * 4.673932</f>
        <v>4.6739319999999998</v>
      </c>
      <c r="M390" s="76">
        <f>F390 * G390 * 4.560824</f>
        <v>4.5608240000000002</v>
      </c>
      <c r="N390" s="77">
        <f>SUM(H390:M390)</f>
        <v>53.748398000000009</v>
      </c>
      <c r="O390" s="10">
        <f>N390*1.07*1.09*1.05</f>
        <v>65.821094416770023</v>
      </c>
      <c r="P390" s="78">
        <f t="shared" ref="P390:P392" si="87">IF($P$9&gt;0,O390/$P$9/12,0)</f>
        <v>3.7980135724951543E-4</v>
      </c>
    </row>
    <row r="391" spans="2:16" ht="30" x14ac:dyDescent="0.25">
      <c r="B391" s="29">
        <v>238</v>
      </c>
      <c r="C391" s="34" t="s">
        <v>878</v>
      </c>
      <c r="D391" s="35" t="s">
        <v>879</v>
      </c>
      <c r="E391" s="35" t="s">
        <v>877</v>
      </c>
      <c r="F391" s="74">
        <v>1</v>
      </c>
      <c r="G391" s="75">
        <v>12</v>
      </c>
      <c r="H391" s="76">
        <f>F391 * G391 * 20.24405</f>
        <v>242.92860000000002</v>
      </c>
      <c r="I391" s="76">
        <f>F391 * G391 * 0</f>
        <v>0</v>
      </c>
      <c r="J391" s="76">
        <f>F391 * G391 * 0</f>
        <v>0</v>
      </c>
      <c r="K391" s="76">
        <f>F391 * G391 * 19.272336</f>
        <v>231.26803200000001</v>
      </c>
      <c r="L391" s="76">
        <f>F391 * G391 * 4.149221</f>
        <v>49.790651999999994</v>
      </c>
      <c r="M391" s="76">
        <f>F391 * G391 * 4.04881</f>
        <v>48.585719999999995</v>
      </c>
      <c r="N391" s="77">
        <f>SUM(H391:M391)</f>
        <v>572.57300400000008</v>
      </c>
      <c r="O391" s="10">
        <f>N391*1.07*1.09*1.05</f>
        <v>701.18148929346012</v>
      </c>
      <c r="P391" s="78">
        <f t="shared" si="87"/>
        <v>4.0459625241971338E-3</v>
      </c>
    </row>
    <row r="392" spans="2:16" ht="45" x14ac:dyDescent="0.25">
      <c r="B392" s="29">
        <v>239</v>
      </c>
      <c r="C392" s="34" t="s">
        <v>880</v>
      </c>
      <c r="D392" s="35" t="s">
        <v>881</v>
      </c>
      <c r="E392" s="35" t="s">
        <v>877</v>
      </c>
      <c r="F392" s="74">
        <v>1</v>
      </c>
      <c r="G392" s="75">
        <v>1</v>
      </c>
      <c r="H392" s="76">
        <f>F392 * G392 * 60.73215</f>
        <v>60.732149999999997</v>
      </c>
      <c r="I392" s="76">
        <f>F392 * G392 * 0</f>
        <v>0</v>
      </c>
      <c r="J392" s="76">
        <f>F392 * G392 * 0</f>
        <v>0</v>
      </c>
      <c r="K392" s="76">
        <f>F392 * G392 * 57.817006</f>
        <v>57.817005999999999</v>
      </c>
      <c r="L392" s="76">
        <f>F392 * G392 * 12.447662</f>
        <v>12.447661999999999</v>
      </c>
      <c r="M392" s="76">
        <f>F392 * G392 * 12.14643</f>
        <v>12.146430000000001</v>
      </c>
      <c r="N392" s="77">
        <f>SUM(H392:M392)</f>
        <v>143.143248</v>
      </c>
      <c r="O392" s="10">
        <f>N392*1.07*1.09*1.05</f>
        <v>175.29536864952001</v>
      </c>
      <c r="P392" s="78">
        <f t="shared" si="87"/>
        <v>1.0114906098504363E-3</v>
      </c>
    </row>
    <row r="393" spans="2:16" x14ac:dyDescent="0.25">
      <c r="B393" s="79"/>
      <c r="C393" s="80" t="s">
        <v>882</v>
      </c>
      <c r="D393" s="104" t="s">
        <v>883</v>
      </c>
      <c r="E393" s="104"/>
      <c r="F393" s="104"/>
      <c r="G393" s="104"/>
      <c r="H393" s="104"/>
      <c r="I393" s="104"/>
      <c r="J393" s="104"/>
      <c r="K393" s="104"/>
      <c r="L393" s="104"/>
      <c r="M393" s="104"/>
      <c r="N393" s="104"/>
      <c r="O393" s="104"/>
      <c r="P393" s="104"/>
    </row>
    <row r="394" spans="2:16" ht="45" x14ac:dyDescent="0.25">
      <c r="B394" s="29">
        <v>240</v>
      </c>
      <c r="C394" s="34" t="s">
        <v>884</v>
      </c>
      <c r="D394" s="35" t="s">
        <v>885</v>
      </c>
      <c r="E394" s="35" t="s">
        <v>877</v>
      </c>
      <c r="F394" s="74">
        <v>1</v>
      </c>
      <c r="G394" s="75">
        <v>1</v>
      </c>
      <c r="H394" s="76">
        <f>F394 * G394 * 36.486592</f>
        <v>36.486592000000002</v>
      </c>
      <c r="I394" s="76">
        <f>F394 * G394 * 0</f>
        <v>0</v>
      </c>
      <c r="J394" s="76">
        <f>F394 * G394 * 0</f>
        <v>0</v>
      </c>
      <c r="K394" s="76">
        <f>F394 * G394 * 34.735236</f>
        <v>34.735236</v>
      </c>
      <c r="L394" s="76">
        <f>F394 * G394 * 7.478292</f>
        <v>7.4782919999999997</v>
      </c>
      <c r="M394" s="76">
        <f>F394 * G394 * 7.297318</f>
        <v>7.2973179999999997</v>
      </c>
      <c r="N394" s="77">
        <f>SUM(H394:M394)</f>
        <v>85.997438000000002</v>
      </c>
      <c r="O394" s="10">
        <f>N394*1.07*1.09*1.05</f>
        <v>105.31375253637003</v>
      </c>
      <c r="P394" s="78">
        <f t="shared" ref="P394:P397" si="88">IF($P$9&gt;0,O394/$P$9/12,0)</f>
        <v>6.0768218007876355E-4</v>
      </c>
    </row>
    <row r="395" spans="2:16" ht="30" x14ac:dyDescent="0.25">
      <c r="B395" s="29">
        <v>241</v>
      </c>
      <c r="C395" s="34" t="s">
        <v>886</v>
      </c>
      <c r="D395" s="35" t="s">
        <v>887</v>
      </c>
      <c r="E395" s="35" t="s">
        <v>877</v>
      </c>
      <c r="F395" s="74">
        <v>1</v>
      </c>
      <c r="G395" s="75">
        <v>12</v>
      </c>
      <c r="H395" s="76">
        <f>F395 * G395 * 20.24405</f>
        <v>242.92860000000002</v>
      </c>
      <c r="I395" s="76">
        <f>F395 * G395 * 0</f>
        <v>0</v>
      </c>
      <c r="J395" s="76">
        <f>F395 * G395 * 0</f>
        <v>0</v>
      </c>
      <c r="K395" s="76">
        <f>F395 * G395 * 19.272336</f>
        <v>231.26803200000001</v>
      </c>
      <c r="L395" s="76">
        <f>F395 * G395 * 4.149221</f>
        <v>49.790651999999994</v>
      </c>
      <c r="M395" s="76">
        <f>F395 * G395 * 4.04881</f>
        <v>48.585719999999995</v>
      </c>
      <c r="N395" s="77">
        <f>SUM(H395:M395)</f>
        <v>572.57300400000008</v>
      </c>
      <c r="O395" s="10">
        <f>N395*1.07*1.09*1.05</f>
        <v>701.18148929346012</v>
      </c>
      <c r="P395" s="78">
        <f t="shared" si="88"/>
        <v>4.0459625241971338E-3</v>
      </c>
    </row>
    <row r="396" spans="2:16" ht="45" x14ac:dyDescent="0.25">
      <c r="B396" s="29">
        <v>242</v>
      </c>
      <c r="C396" s="34" t="s">
        <v>888</v>
      </c>
      <c r="D396" s="35" t="s">
        <v>889</v>
      </c>
      <c r="E396" s="35" t="s">
        <v>683</v>
      </c>
      <c r="F396" s="74">
        <v>1</v>
      </c>
      <c r="G396" s="75">
        <v>1</v>
      </c>
      <c r="H396" s="76">
        <f>F396 * G396 * 60.73215</f>
        <v>60.732149999999997</v>
      </c>
      <c r="I396" s="76">
        <f>F396 * G396 * 0</f>
        <v>0</v>
      </c>
      <c r="J396" s="76">
        <f>F396 * G396 * 0</f>
        <v>0</v>
      </c>
      <c r="K396" s="76">
        <f>F396 * G396 * 57.817006</f>
        <v>57.817005999999999</v>
      </c>
      <c r="L396" s="76">
        <f>F396 * G396 * 12.447662</f>
        <v>12.447661999999999</v>
      </c>
      <c r="M396" s="76">
        <f>F396 * G396 * 12.14643</f>
        <v>12.146430000000001</v>
      </c>
      <c r="N396" s="77">
        <f>SUM(H396:M396)</f>
        <v>143.143248</v>
      </c>
      <c r="O396" s="10">
        <f>N396*1.07*1.09*1.05</f>
        <v>175.29536864952001</v>
      </c>
      <c r="P396" s="78">
        <f t="shared" si="88"/>
        <v>1.0114906098504363E-3</v>
      </c>
    </row>
    <row r="397" spans="2:16" ht="45" x14ac:dyDescent="0.25">
      <c r="B397" s="29">
        <v>243</v>
      </c>
      <c r="C397" s="34" t="s">
        <v>890</v>
      </c>
      <c r="D397" s="35" t="s">
        <v>891</v>
      </c>
      <c r="E397" s="35" t="s">
        <v>683</v>
      </c>
      <c r="F397" s="74">
        <v>1</v>
      </c>
      <c r="G397" s="75">
        <v>1</v>
      </c>
      <c r="H397" s="76">
        <f>F397 * G397 * 196.115432</f>
        <v>196.115432</v>
      </c>
      <c r="I397" s="76">
        <f>F397 * G397 * 0</f>
        <v>0</v>
      </c>
      <c r="J397" s="76">
        <f>F397 * G397 * 0</f>
        <v>0</v>
      </c>
      <c r="K397" s="76">
        <f>F397 * G397 * 186.701891</f>
        <v>186.70189099999999</v>
      </c>
      <c r="L397" s="76">
        <f>F397 * G397 * 40.195819</f>
        <v>40.195819</v>
      </c>
      <c r="M397" s="76">
        <f>F397 * G397 * 39.223086</f>
        <v>39.223086000000002</v>
      </c>
      <c r="N397" s="77">
        <f>SUM(H397:M397)</f>
        <v>462.23622800000004</v>
      </c>
      <c r="O397" s="10">
        <f>N397*1.07*1.09*1.05</f>
        <v>566.06141835222024</v>
      </c>
      <c r="P397" s="78">
        <f t="shared" si="88"/>
        <v>3.2662917090905013E-3</v>
      </c>
    </row>
    <row r="398" spans="2:16" ht="16.5" customHeight="1" x14ac:dyDescent="0.25">
      <c r="B398" s="106" t="s">
        <v>387</v>
      </c>
      <c r="C398" s="106"/>
      <c r="D398" s="106"/>
      <c r="E398" s="106"/>
      <c r="F398" s="106"/>
      <c r="G398" s="106"/>
      <c r="H398" s="22">
        <f t="shared" ref="H398:O398" si="89">SUM(H318:H397)</f>
        <v>235510.37856145098</v>
      </c>
      <c r="I398" s="22">
        <f t="shared" si="89"/>
        <v>287325.176707657</v>
      </c>
      <c r="J398" s="22">
        <f t="shared" si="89"/>
        <v>147.42422099999999</v>
      </c>
      <c r="K398" s="22">
        <f t="shared" si="89"/>
        <v>224205.88038698092</v>
      </c>
      <c r="L398" s="22">
        <f t="shared" si="89"/>
        <v>78454.830282872994</v>
      </c>
      <c r="M398" s="22">
        <f t="shared" si="89"/>
        <v>47102.075704371004</v>
      </c>
      <c r="N398" s="22">
        <f t="shared" si="89"/>
        <v>872745.76586433256</v>
      </c>
      <c r="O398" s="22">
        <f t="shared" si="89"/>
        <v>1068777.5560639503</v>
      </c>
      <c r="P398" s="23">
        <f>SUM(P318:P397)</f>
        <v>6.1670680195722563</v>
      </c>
    </row>
    <row r="399" spans="2:16" x14ac:dyDescent="0.25">
      <c r="B399" s="99" t="s">
        <v>892</v>
      </c>
      <c r="C399" s="99"/>
      <c r="D399" s="99"/>
      <c r="E399" s="99"/>
      <c r="F399" s="99"/>
      <c r="G399" s="99"/>
      <c r="H399" s="99"/>
      <c r="I399" s="99"/>
      <c r="J399" s="99"/>
      <c r="K399" s="99"/>
      <c r="L399" s="99"/>
      <c r="M399" s="100"/>
      <c r="N399" s="100"/>
      <c r="O399" s="15"/>
      <c r="P399" s="25"/>
    </row>
    <row r="400" spans="2:16" x14ac:dyDescent="0.25">
      <c r="B400" s="99"/>
      <c r="C400" s="99"/>
      <c r="D400" s="99"/>
      <c r="E400" s="99"/>
      <c r="F400" s="99"/>
      <c r="G400" s="99"/>
      <c r="H400" s="99"/>
      <c r="I400" s="99"/>
      <c r="J400" s="99"/>
      <c r="K400" s="99"/>
      <c r="L400" s="99"/>
      <c r="M400" s="101"/>
      <c r="N400" s="101"/>
      <c r="O400" s="17"/>
      <c r="P400" s="18"/>
    </row>
    <row r="401" spans="2:16" ht="15.75" customHeight="1" x14ac:dyDescent="0.25">
      <c r="B401" s="19"/>
      <c r="C401" s="20" t="s">
        <v>893</v>
      </c>
      <c r="D401" s="102" t="s">
        <v>894</v>
      </c>
      <c r="E401" s="102"/>
      <c r="F401" s="102"/>
      <c r="G401" s="102"/>
      <c r="H401" s="102"/>
      <c r="I401" s="102"/>
      <c r="J401" s="102"/>
      <c r="K401" s="102"/>
      <c r="L401" s="102"/>
      <c r="M401" s="102"/>
      <c r="N401" s="102"/>
      <c r="O401" s="102"/>
      <c r="P401" s="102"/>
    </row>
    <row r="402" spans="2:16" x14ac:dyDescent="0.25">
      <c r="B402" s="79"/>
      <c r="C402" s="80" t="s">
        <v>895</v>
      </c>
      <c r="D402" s="103" t="s">
        <v>896</v>
      </c>
      <c r="E402" s="103"/>
      <c r="F402" s="103"/>
      <c r="G402" s="103"/>
      <c r="H402" s="103"/>
      <c r="I402" s="103"/>
      <c r="J402" s="103"/>
      <c r="K402" s="103"/>
      <c r="L402" s="103"/>
      <c r="M402" s="103"/>
      <c r="N402" s="103"/>
      <c r="O402" s="103"/>
      <c r="P402" s="103"/>
    </row>
    <row r="403" spans="2:16" x14ac:dyDescent="0.25">
      <c r="B403" s="79"/>
      <c r="C403" s="80" t="s">
        <v>897</v>
      </c>
      <c r="D403" s="104" t="s">
        <v>898</v>
      </c>
      <c r="E403" s="104"/>
      <c r="F403" s="104"/>
      <c r="G403" s="104"/>
      <c r="H403" s="104"/>
      <c r="I403" s="104"/>
      <c r="J403" s="104"/>
      <c r="K403" s="104"/>
      <c r="L403" s="104"/>
      <c r="M403" s="104"/>
      <c r="N403" s="104"/>
      <c r="O403" s="104"/>
      <c r="P403" s="104"/>
    </row>
    <row r="404" spans="2:16" ht="30" x14ac:dyDescent="0.25">
      <c r="B404" s="29">
        <v>244</v>
      </c>
      <c r="C404" s="34" t="s">
        <v>899</v>
      </c>
      <c r="D404" s="35" t="s">
        <v>900</v>
      </c>
      <c r="E404" s="35" t="s">
        <v>901</v>
      </c>
      <c r="F404" s="74">
        <v>0.68020000000000003</v>
      </c>
      <c r="G404" s="75">
        <v>2</v>
      </c>
      <c r="H404" s="76">
        <f>F404 * G404 * 1214.12844</f>
        <v>1651.700329776</v>
      </c>
      <c r="I404" s="76">
        <f>F404 * G404 * 561.602173</f>
        <v>764.00359614920001</v>
      </c>
      <c r="J404" s="76">
        <f>F404 * G404 * 0</f>
        <v>0</v>
      </c>
      <c r="K404" s="76">
        <f>F404 * G404 * 1155.850275</f>
        <v>1572.4187141100001</v>
      </c>
      <c r="L404" s="76">
        <f>F404 * G404 * 307.815993</f>
        <v>418.75287687719998</v>
      </c>
      <c r="M404" s="76">
        <f>F404 * G404 * 242.825688</f>
        <v>330.34006595520003</v>
      </c>
      <c r="N404" s="77">
        <f>SUM(H404:M404)</f>
        <v>4737.2155828676005</v>
      </c>
      <c r="O404" s="10">
        <f>N404*1.07*1.09*1.05</f>
        <v>5801.2652610134064</v>
      </c>
      <c r="P404" s="78">
        <f t="shared" ref="P404:P405" si="90">IF($P$9&gt;0,O404/$P$9/12,0)</f>
        <v>3.3474502960193685E-2</v>
      </c>
    </row>
    <row r="405" spans="2:16" ht="30" x14ac:dyDescent="0.25">
      <c r="B405" s="29">
        <v>245</v>
      </c>
      <c r="C405" s="34" t="s">
        <v>902</v>
      </c>
      <c r="D405" s="35" t="s">
        <v>903</v>
      </c>
      <c r="E405" s="35" t="s">
        <v>901</v>
      </c>
      <c r="F405" s="74">
        <v>0.28839999999999999</v>
      </c>
      <c r="G405" s="75">
        <v>2</v>
      </c>
      <c r="H405" s="76">
        <f>F405 * G405 * 2131.469928</f>
        <v>1229.4318544703999</v>
      </c>
      <c r="I405" s="76">
        <f>F405 * G405 * 867.523099</f>
        <v>500.38732350319998</v>
      </c>
      <c r="J405" s="76">
        <f>F405 * G405 * 0</f>
        <v>0</v>
      </c>
      <c r="K405" s="76">
        <f>F405 * G405 * 2029.159371</f>
        <v>1170.4191251928</v>
      </c>
      <c r="L405" s="76">
        <f>F405 * G405 * 527.956002</f>
        <v>304.5250219536</v>
      </c>
      <c r="M405" s="76">
        <f>F405 * G405 * 426.293986</f>
        <v>245.88637112480001</v>
      </c>
      <c r="N405" s="77">
        <f>SUM(H405:M405)</f>
        <v>3450.6496962448</v>
      </c>
      <c r="O405" s="10">
        <f>N405*1.07*1.09*1.05</f>
        <v>4225.7173777668268</v>
      </c>
      <c r="P405" s="78">
        <f t="shared" si="90"/>
        <v>2.438326511659758E-2</v>
      </c>
    </row>
    <row r="406" spans="2:16" x14ac:dyDescent="0.25">
      <c r="B406" s="79"/>
      <c r="C406" s="80" t="s">
        <v>904</v>
      </c>
      <c r="D406" s="104" t="s">
        <v>905</v>
      </c>
      <c r="E406" s="104"/>
      <c r="F406" s="104"/>
      <c r="G406" s="104"/>
      <c r="H406" s="104"/>
      <c r="I406" s="104"/>
      <c r="J406" s="104"/>
      <c r="K406" s="104"/>
      <c r="L406" s="104"/>
      <c r="M406" s="104"/>
      <c r="N406" s="104"/>
      <c r="O406" s="104"/>
      <c r="P406" s="104"/>
    </row>
    <row r="407" spans="2:16" ht="30" x14ac:dyDescent="0.25">
      <c r="B407" s="29">
        <v>246</v>
      </c>
      <c r="C407" s="34" t="s">
        <v>906</v>
      </c>
      <c r="D407" s="35" t="s">
        <v>907</v>
      </c>
      <c r="E407" s="35" t="s">
        <v>908</v>
      </c>
      <c r="F407" s="74">
        <v>7</v>
      </c>
      <c r="G407" s="75">
        <v>1</v>
      </c>
      <c r="H407" s="76">
        <f>F407 * G407 * 96.988463</f>
        <v>678.91924099999994</v>
      </c>
      <c r="I407" s="76">
        <f>F407 * G407 * 241.22913</f>
        <v>1688.60391</v>
      </c>
      <c r="J407" s="76">
        <f>F407 * G407 * 0</f>
        <v>0</v>
      </c>
      <c r="K407" s="76">
        <f>F407 * G407 * 92.333017</f>
        <v>646.33111899999994</v>
      </c>
      <c r="L407" s="76">
        <f>F407 * G407 * 45.207814</f>
        <v>316.45469800000001</v>
      </c>
      <c r="M407" s="76">
        <f>F407 * G407 * 19.397693</f>
        <v>135.783851</v>
      </c>
      <c r="N407" s="77">
        <f>SUM(H407:M407)</f>
        <v>3466.092819</v>
      </c>
      <c r="O407" s="10">
        <f>N407*1.07*1.09*1.05</f>
        <v>4244.6292575396856</v>
      </c>
      <c r="P407" s="78">
        <f t="shared" ref="P407:P410" si="91">IF($P$9&gt;0,O407/$P$9/12,0)</f>
        <v>2.4492390582673718E-2</v>
      </c>
    </row>
    <row r="408" spans="2:16" ht="30" x14ac:dyDescent="0.25">
      <c r="B408" s="29">
        <v>247</v>
      </c>
      <c r="C408" s="34" t="s">
        <v>909</v>
      </c>
      <c r="D408" s="35" t="s">
        <v>910</v>
      </c>
      <c r="E408" s="35" t="s">
        <v>908</v>
      </c>
      <c r="F408" s="74">
        <v>6</v>
      </c>
      <c r="G408" s="75">
        <v>1</v>
      </c>
      <c r="H408" s="76">
        <f>F408 * G408 * 111.628231</f>
        <v>669.76938599999994</v>
      </c>
      <c r="I408" s="76">
        <f>F408 * G408 * 241.22913</f>
        <v>1447.3747800000001</v>
      </c>
      <c r="J408" s="76">
        <f>F408 * G408 * 0</f>
        <v>0</v>
      </c>
      <c r="K408" s="76">
        <f>F408 * G408 * 106.270076</f>
        <v>637.62045599999999</v>
      </c>
      <c r="L408" s="76">
        <f>F408 * G408 * 48.208381</f>
        <v>289.25028600000002</v>
      </c>
      <c r="M408" s="76">
        <f>F408 * G408 * 22.325646</f>
        <v>133.95387599999998</v>
      </c>
      <c r="N408" s="77">
        <f>SUM(H408:M408)</f>
        <v>3177.9687840000001</v>
      </c>
      <c r="O408" s="10">
        <f>N408*1.07*1.09*1.05</f>
        <v>3891.7882424181607</v>
      </c>
      <c r="P408" s="78">
        <f t="shared" si="91"/>
        <v>2.2456424793531372E-2</v>
      </c>
    </row>
    <row r="409" spans="2:16" ht="30" x14ac:dyDescent="0.25">
      <c r="B409" s="29">
        <v>248</v>
      </c>
      <c r="C409" s="34" t="s">
        <v>911</v>
      </c>
      <c r="D409" s="35" t="s">
        <v>912</v>
      </c>
      <c r="E409" s="35" t="s">
        <v>908</v>
      </c>
      <c r="F409" s="74">
        <v>5</v>
      </c>
      <c r="G409" s="75">
        <v>1</v>
      </c>
      <c r="H409" s="76">
        <f>F409 * G409 * 118.948115</f>
        <v>594.74057500000004</v>
      </c>
      <c r="I409" s="76">
        <f>F409 * G409 * 241.22913</f>
        <v>1206.1456499999999</v>
      </c>
      <c r="J409" s="76">
        <f>F409 * G409 * 0</f>
        <v>0</v>
      </c>
      <c r="K409" s="76">
        <f>F409 * G409 * 113.238606</f>
        <v>566.19303000000002</v>
      </c>
      <c r="L409" s="76">
        <f>F409 * G409 * 49.708664</f>
        <v>248.54331999999999</v>
      </c>
      <c r="M409" s="76">
        <f>F409 * G409 * 23.789623</f>
        <v>118.948115</v>
      </c>
      <c r="N409" s="77">
        <f>SUM(H409:M409)</f>
        <v>2734.5706900000005</v>
      </c>
      <c r="O409" s="10">
        <f>N409*1.07*1.09*1.05</f>
        <v>3348.7962855343512</v>
      </c>
      <c r="P409" s="78">
        <f t="shared" si="91"/>
        <v>1.9323248658625024E-2</v>
      </c>
    </row>
    <row r="410" spans="2:16" ht="30" x14ac:dyDescent="0.25">
      <c r="B410" s="29">
        <v>249</v>
      </c>
      <c r="C410" s="34" t="s">
        <v>913</v>
      </c>
      <c r="D410" s="35" t="s">
        <v>914</v>
      </c>
      <c r="E410" s="35" t="s">
        <v>908</v>
      </c>
      <c r="F410" s="74">
        <v>4</v>
      </c>
      <c r="G410" s="75">
        <v>1</v>
      </c>
      <c r="H410" s="76">
        <f>F410 * G410 * 140.907767</f>
        <v>563.63106800000003</v>
      </c>
      <c r="I410" s="76">
        <f>F410 * G410 * 241.22913</f>
        <v>964.91651999999999</v>
      </c>
      <c r="J410" s="76">
        <f>F410 * G410 * 0</f>
        <v>0</v>
      </c>
      <c r="K410" s="76">
        <f>F410 * G410 * 134.144195</f>
        <v>536.57677999999999</v>
      </c>
      <c r="L410" s="76">
        <f>F410 * G410 * 54.209514</f>
        <v>216.83805599999999</v>
      </c>
      <c r="M410" s="76">
        <f>F410 * G410 * 28.181553</f>
        <v>112.726212</v>
      </c>
      <c r="N410" s="77">
        <f>SUM(H410:M410)</f>
        <v>2394.6886359999999</v>
      </c>
      <c r="O410" s="10">
        <f>N410*1.07*1.09*1.05</f>
        <v>2932.5716239751405</v>
      </c>
      <c r="P410" s="78">
        <f t="shared" si="91"/>
        <v>1.6921546092272196E-2</v>
      </c>
    </row>
    <row r="411" spans="2:16" x14ac:dyDescent="0.25">
      <c r="B411" s="79"/>
      <c r="C411" s="80" t="s">
        <v>915</v>
      </c>
      <c r="D411" s="104" t="s">
        <v>916</v>
      </c>
      <c r="E411" s="104"/>
      <c r="F411" s="104"/>
      <c r="G411" s="104"/>
      <c r="H411" s="104"/>
      <c r="I411" s="104"/>
      <c r="J411" s="104"/>
      <c r="K411" s="104"/>
      <c r="L411" s="104"/>
      <c r="M411" s="104"/>
      <c r="N411" s="104"/>
      <c r="O411" s="104"/>
      <c r="P411" s="104"/>
    </row>
    <row r="412" spans="2:16" x14ac:dyDescent="0.25">
      <c r="B412" s="29">
        <v>250</v>
      </c>
      <c r="C412" s="34" t="s">
        <v>917</v>
      </c>
      <c r="D412" s="35" t="s">
        <v>918</v>
      </c>
      <c r="E412" s="35" t="s">
        <v>919</v>
      </c>
      <c r="F412" s="74">
        <v>6</v>
      </c>
      <c r="G412" s="75">
        <v>1</v>
      </c>
      <c r="H412" s="76">
        <f>F412 * G412 * 161.909252</f>
        <v>971.455512</v>
      </c>
      <c r="I412" s="76">
        <f>F412 * G412 * 506.34036</f>
        <v>3038.04216</v>
      </c>
      <c r="J412" s="76">
        <f>F412 * G412 * 0</f>
        <v>0</v>
      </c>
      <c r="K412" s="76">
        <f>F412 * G412 * 154.137608</f>
        <v>924.825648</v>
      </c>
      <c r="L412" s="76">
        <f>F412 * G412 * 86.350658</f>
        <v>518.10394799999995</v>
      </c>
      <c r="M412" s="76">
        <f>F412 * G412 * 32.38185</f>
        <v>194.2911</v>
      </c>
      <c r="N412" s="77">
        <f>SUM(H412:M412)</f>
        <v>5646.7183679999998</v>
      </c>
      <c r="O412" s="10">
        <f>N412*1.07*1.09*1.05</f>
        <v>6915.0560142283211</v>
      </c>
      <c r="P412" s="78">
        <f>IF($P$9&gt;0,O412/$P$9/12,0)</f>
        <v>3.9901306457025353E-2</v>
      </c>
    </row>
    <row r="413" spans="2:16" x14ac:dyDescent="0.25">
      <c r="B413" s="79"/>
      <c r="C413" s="80" t="s">
        <v>920</v>
      </c>
      <c r="D413" s="104" t="s">
        <v>921</v>
      </c>
      <c r="E413" s="104"/>
      <c r="F413" s="104"/>
      <c r="G413" s="104"/>
      <c r="H413" s="104"/>
      <c r="I413" s="104"/>
      <c r="J413" s="104"/>
      <c r="K413" s="104"/>
      <c r="L413" s="104"/>
      <c r="M413" s="104"/>
      <c r="N413" s="104"/>
      <c r="O413" s="104"/>
      <c r="P413" s="104"/>
    </row>
    <row r="414" spans="2:16" ht="30" x14ac:dyDescent="0.25">
      <c r="B414" s="29">
        <v>251</v>
      </c>
      <c r="C414" s="34" t="s">
        <v>922</v>
      </c>
      <c r="D414" s="35" t="s">
        <v>923</v>
      </c>
      <c r="E414" s="35" t="s">
        <v>924</v>
      </c>
      <c r="F414" s="74">
        <v>3</v>
      </c>
      <c r="G414" s="75">
        <v>0.5</v>
      </c>
      <c r="H414" s="76">
        <f>F414 * G414 * 323.818504</f>
        <v>485.727756</v>
      </c>
      <c r="I414" s="76">
        <f>F414 * G414 * 167.480541</f>
        <v>251.22081149999997</v>
      </c>
      <c r="J414" s="76">
        <f>F414 * G414 * 0</f>
        <v>0</v>
      </c>
      <c r="K414" s="76">
        <f>F414 * G414 * 308.275216</f>
        <v>462.412824</v>
      </c>
      <c r="L414" s="76">
        <f>F414 * G414 * 83.955297</f>
        <v>125.9329455</v>
      </c>
      <c r="M414" s="76">
        <f>F414 * G414 * 64.763701</f>
        <v>97.145551499999996</v>
      </c>
      <c r="N414" s="77">
        <f>SUM(H414:M414)</f>
        <v>1422.4398885000001</v>
      </c>
      <c r="O414" s="10">
        <f>N414*1.07*1.09*1.05</f>
        <v>1741.9412240554279</v>
      </c>
      <c r="P414" s="78">
        <f t="shared" ref="P414:P418" si="92">IF($P$9&gt;0,O414/$P$9/12,0)</f>
        <v>1.0051361907719545E-2</v>
      </c>
    </row>
    <row r="415" spans="2:16" ht="30" x14ac:dyDescent="0.25">
      <c r="B415" s="29">
        <v>252</v>
      </c>
      <c r="C415" s="34" t="s">
        <v>925</v>
      </c>
      <c r="D415" s="35" t="s">
        <v>926</v>
      </c>
      <c r="E415" s="35" t="s">
        <v>924</v>
      </c>
      <c r="F415" s="74">
        <v>2</v>
      </c>
      <c r="G415" s="75">
        <v>0.5</v>
      </c>
      <c r="H415" s="76">
        <f>F415 * G415 * 385.389628</f>
        <v>385.38962800000002</v>
      </c>
      <c r="I415" s="76">
        <f>F415 * G415 * 281.362566</f>
        <v>281.36256600000002</v>
      </c>
      <c r="J415" s="76">
        <f>F415 * G415 * 0</f>
        <v>0</v>
      </c>
      <c r="K415" s="76">
        <f>F415 * G415 * 366.890926</f>
        <v>366.89092599999998</v>
      </c>
      <c r="L415" s="76">
        <f>F415 * G415 * 108.532528</f>
        <v>108.532528</v>
      </c>
      <c r="M415" s="76">
        <f>F415 * G415 * 77.077926</f>
        <v>77.077926000000005</v>
      </c>
      <c r="N415" s="77">
        <f>SUM(H415:M415)</f>
        <v>1219.2535739999998</v>
      </c>
      <c r="O415" s="10">
        <f>N415*1.07*1.09*1.05</f>
        <v>1493.1162155240099</v>
      </c>
      <c r="P415" s="78">
        <f t="shared" si="92"/>
        <v>8.6155900355676159E-3</v>
      </c>
    </row>
    <row r="416" spans="2:16" ht="30" x14ac:dyDescent="0.25">
      <c r="B416" s="29">
        <v>253</v>
      </c>
      <c r="C416" s="34" t="s">
        <v>927</v>
      </c>
      <c r="D416" s="35" t="s">
        <v>928</v>
      </c>
      <c r="E416" s="35" t="s">
        <v>924</v>
      </c>
      <c r="F416" s="74">
        <v>1</v>
      </c>
      <c r="G416" s="75">
        <v>0.5</v>
      </c>
      <c r="H416" s="76">
        <f>F416 * G416 * 456.0824</f>
        <v>228.0412</v>
      </c>
      <c r="I416" s="76">
        <f>F416 * G416 * 311.5504</f>
        <v>155.77520000000001</v>
      </c>
      <c r="J416" s="76">
        <f>F416 * G416 * 0</f>
        <v>0</v>
      </c>
      <c r="K416" s="76">
        <f>F416 * G416 * 434.190444999999</f>
        <v>217.09522249999949</v>
      </c>
      <c r="L416" s="76">
        <f>F416 * G416 * 126.19144</f>
        <v>63.09572</v>
      </c>
      <c r="M416" s="76">
        <f>F416 * G416 * 91.21648</f>
        <v>45.608240000000002</v>
      </c>
      <c r="N416" s="77">
        <f>SUM(H416:M416)</f>
        <v>709.61558249999962</v>
      </c>
      <c r="O416" s="10">
        <f>N416*1.07*1.09*1.05</f>
        <v>869.00588656323714</v>
      </c>
      <c r="P416" s="78">
        <f t="shared" si="92"/>
        <v>5.0143440807092574E-3</v>
      </c>
    </row>
    <row r="417" spans="2:16" ht="30" x14ac:dyDescent="0.25">
      <c r="B417" s="29">
        <v>254</v>
      </c>
      <c r="C417" s="34" t="s">
        <v>929</v>
      </c>
      <c r="D417" s="35" t="s">
        <v>930</v>
      </c>
      <c r="E417" s="35" t="s">
        <v>924</v>
      </c>
      <c r="F417" s="74">
        <v>1</v>
      </c>
      <c r="G417" s="75">
        <v>0.5</v>
      </c>
      <c r="H417" s="76">
        <f>F417 * G417 * 545.018468</f>
        <v>272.50923399999999</v>
      </c>
      <c r="I417" s="76">
        <f>F417 * G417 * 371.516247</f>
        <v>185.75812350000001</v>
      </c>
      <c r="J417" s="76">
        <f>F417 * G417 * 0</f>
        <v>0</v>
      </c>
      <c r="K417" s="76">
        <f>F417 * G417 * 518.857581</f>
        <v>259.42879049999999</v>
      </c>
      <c r="L417" s="76">
        <f>F417 * G417 * 150.716191</f>
        <v>75.358095500000005</v>
      </c>
      <c r="M417" s="76">
        <f>F417 * G417 * 109.003694</f>
        <v>54.501846999999998</v>
      </c>
      <c r="N417" s="77">
        <f>SUM(H417:M417)</f>
        <v>847.55609049999998</v>
      </c>
      <c r="O417" s="10">
        <f>N417*1.07*1.09*1.05</f>
        <v>1037.9299017676576</v>
      </c>
      <c r="P417" s="78">
        <f t="shared" si="92"/>
        <v>5.9890706606175138E-3</v>
      </c>
    </row>
    <row r="418" spans="2:16" ht="30" x14ac:dyDescent="0.25">
      <c r="B418" s="29">
        <v>255</v>
      </c>
      <c r="C418" s="34" t="s">
        <v>931</v>
      </c>
      <c r="D418" s="35" t="s">
        <v>932</v>
      </c>
      <c r="E418" s="35" t="s">
        <v>426</v>
      </c>
      <c r="F418" s="74">
        <v>4</v>
      </c>
      <c r="G418" s="75">
        <v>4</v>
      </c>
      <c r="H418" s="76">
        <f>F418 * G418 * 169.592544</f>
        <v>2713.4807040000001</v>
      </c>
      <c r="I418" s="76">
        <f>F418 * G418 * 0</f>
        <v>0</v>
      </c>
      <c r="J418" s="76">
        <f>F418 * G418 * 0</f>
        <v>0</v>
      </c>
      <c r="K418" s="76">
        <f>F418 * G418 * 161.452102</f>
        <v>2583.2336319999999</v>
      </c>
      <c r="L418" s="76">
        <f>F418 * G418 * 34.759688</f>
        <v>556.15500799999995</v>
      </c>
      <c r="M418" s="76">
        <f>F418 * G418 * 33.918509</f>
        <v>542.696144</v>
      </c>
      <c r="N418" s="77">
        <f>SUM(H418:M418)</f>
        <v>6395.5654880000002</v>
      </c>
      <c r="O418" s="10">
        <f>N418*1.07*1.09*1.05</f>
        <v>7832.1054300871228</v>
      </c>
      <c r="P418" s="78">
        <f t="shared" si="92"/>
        <v>4.5192871659552714E-2</v>
      </c>
    </row>
    <row r="419" spans="2:16" x14ac:dyDescent="0.25">
      <c r="B419" s="79"/>
      <c r="C419" s="80" t="s">
        <v>933</v>
      </c>
      <c r="D419" s="103" t="s">
        <v>934</v>
      </c>
      <c r="E419" s="103"/>
      <c r="F419" s="103"/>
      <c r="G419" s="103"/>
      <c r="H419" s="103"/>
      <c r="I419" s="103"/>
      <c r="J419" s="103"/>
      <c r="K419" s="103"/>
      <c r="L419" s="103"/>
      <c r="M419" s="103"/>
      <c r="N419" s="103"/>
      <c r="O419" s="103"/>
      <c r="P419" s="103"/>
    </row>
    <row r="420" spans="2:16" x14ac:dyDescent="0.25">
      <c r="B420" s="79"/>
      <c r="C420" s="80" t="s">
        <v>935</v>
      </c>
      <c r="D420" s="104" t="s">
        <v>936</v>
      </c>
      <c r="E420" s="104"/>
      <c r="F420" s="104"/>
      <c r="G420" s="104"/>
      <c r="H420" s="104"/>
      <c r="I420" s="104"/>
      <c r="J420" s="104"/>
      <c r="K420" s="104"/>
      <c r="L420" s="104"/>
      <c r="M420" s="104"/>
      <c r="N420" s="104"/>
      <c r="O420" s="104"/>
      <c r="P420" s="104"/>
    </row>
    <row r="421" spans="2:16" x14ac:dyDescent="0.25">
      <c r="B421" s="29">
        <v>256</v>
      </c>
      <c r="C421" s="34" t="s">
        <v>937</v>
      </c>
      <c r="D421" s="35" t="s">
        <v>780</v>
      </c>
      <c r="E421" s="35" t="s">
        <v>676</v>
      </c>
      <c r="F421" s="74">
        <v>1</v>
      </c>
      <c r="G421" s="75">
        <v>1</v>
      </c>
      <c r="H421" s="76">
        <f>F421 * G421 * 636.234948</f>
        <v>636.23494800000003</v>
      </c>
      <c r="I421" s="76">
        <f>F421 * G421 * 38407.76496</f>
        <v>38407.76496</v>
      </c>
      <c r="J421" s="76">
        <f>F421 * G421 * 0</f>
        <v>0</v>
      </c>
      <c r="K421" s="76">
        <f>F421 * G421 * 605.69567</f>
        <v>605.69566999999995</v>
      </c>
      <c r="L421" s="76">
        <f>F421 * G421 * 4163.218036</f>
        <v>4163.2180360000002</v>
      </c>
      <c r="M421" s="76">
        <f>F421 * G421 * 127.24699</f>
        <v>127.24699</v>
      </c>
      <c r="N421" s="77">
        <f>SUM(H421:M421)</f>
        <v>43940.160603999997</v>
      </c>
      <c r="O421" s="10">
        <f>N421*1.07*1.09*1.05</f>
        <v>53809.779778067466</v>
      </c>
      <c r="P421" s="78">
        <f t="shared" ref="P421:P425" si="93">IF($P$9&gt;0,O421/$P$9/12,0)</f>
        <v>0.31049358224892365</v>
      </c>
    </row>
    <row r="422" spans="2:16" ht="30" x14ac:dyDescent="0.25">
      <c r="B422" s="29">
        <v>257</v>
      </c>
      <c r="C422" s="34" t="s">
        <v>938</v>
      </c>
      <c r="D422" s="35" t="s">
        <v>939</v>
      </c>
      <c r="E422" s="35" t="s">
        <v>940</v>
      </c>
      <c r="F422" s="74">
        <v>7</v>
      </c>
      <c r="G422" s="75">
        <v>4</v>
      </c>
      <c r="H422" s="76">
        <f>F422 * G422 * 9.121648</f>
        <v>255.40614400000001</v>
      </c>
      <c r="I422" s="76">
        <f>F422 * G422 * 0</f>
        <v>0</v>
      </c>
      <c r="J422" s="76">
        <f>F422 * G422 * 0</f>
        <v>0</v>
      </c>
      <c r="K422" s="76">
        <f>F422 * G422 * 8.683809</f>
        <v>243.14665200000002</v>
      </c>
      <c r="L422" s="76">
        <f>F422 * G422 * 1.869573</f>
        <v>52.348044000000002</v>
      </c>
      <c r="M422" s="76">
        <f>F422 * G422 * 1.82433</f>
        <v>51.081240000000001</v>
      </c>
      <c r="N422" s="77">
        <f>SUM(H422:M422)</f>
        <v>601.98208</v>
      </c>
      <c r="O422" s="10">
        <f>N422*1.07*1.09*1.05</f>
        <v>737.19628489920012</v>
      </c>
      <c r="P422" s="78">
        <f t="shared" si="93"/>
        <v>4.2537753594792975E-3</v>
      </c>
    </row>
    <row r="423" spans="2:16" ht="30" x14ac:dyDescent="0.25">
      <c r="B423" s="29">
        <v>258</v>
      </c>
      <c r="C423" s="34" t="s">
        <v>941</v>
      </c>
      <c r="D423" s="35" t="s">
        <v>942</v>
      </c>
      <c r="E423" s="35" t="s">
        <v>908</v>
      </c>
      <c r="F423" s="74">
        <v>13</v>
      </c>
      <c r="G423" s="75">
        <v>1</v>
      </c>
      <c r="H423" s="76">
        <f>F423 * G423 * 12.809797</f>
        <v>166.52736099999998</v>
      </c>
      <c r="I423" s="76">
        <f>F423 * G423 * 0</f>
        <v>0</v>
      </c>
      <c r="J423" s="76">
        <f>F423 * G423 * 0</f>
        <v>0</v>
      </c>
      <c r="K423" s="76">
        <f>F423 * G423 * 12.194927</f>
        <v>158.53405100000001</v>
      </c>
      <c r="L423" s="76">
        <f>F423 * G423 * 2.62549599999999</f>
        <v>34.131447999999871</v>
      </c>
      <c r="M423" s="76">
        <f>F423 * G423 * 2.561959</f>
        <v>33.305467</v>
      </c>
      <c r="N423" s="77">
        <f>SUM(H423:M423)</f>
        <v>392.4983269999999</v>
      </c>
      <c r="O423" s="10">
        <f>N423*1.07*1.09*1.05</f>
        <v>480.65933871910494</v>
      </c>
      <c r="P423" s="78">
        <f t="shared" si="93"/>
        <v>2.7735040086732271E-3</v>
      </c>
    </row>
    <row r="424" spans="2:16" x14ac:dyDescent="0.25">
      <c r="B424" s="29">
        <v>259</v>
      </c>
      <c r="C424" s="34" t="s">
        <v>943</v>
      </c>
      <c r="D424" s="35" t="s">
        <v>944</v>
      </c>
      <c r="E424" s="35" t="s">
        <v>919</v>
      </c>
      <c r="F424" s="74">
        <v>21</v>
      </c>
      <c r="G424" s="75">
        <v>1</v>
      </c>
      <c r="H424" s="76">
        <f>F424 * G424 * 51.239188</f>
        <v>1076.022948</v>
      </c>
      <c r="I424" s="76">
        <f>F424 * G424 * 0</f>
        <v>0</v>
      </c>
      <c r="J424" s="76">
        <f>F424 * G424 * 0</f>
        <v>0</v>
      </c>
      <c r="K424" s="76">
        <f>F424 * G424 * 48.779707</f>
        <v>1024.3738470000001</v>
      </c>
      <c r="L424" s="76">
        <f>F424 * G424 * 10.501983</f>
        <v>220.54164299999999</v>
      </c>
      <c r="M424" s="76">
        <f>F424 * G424 * 10.247838</f>
        <v>215.204598</v>
      </c>
      <c r="N424" s="77">
        <f>SUM(H424:M424)</f>
        <v>2536.1430359999999</v>
      </c>
      <c r="O424" s="10">
        <f>N424*1.07*1.09*1.05</f>
        <v>3105.7988040311407</v>
      </c>
      <c r="P424" s="78">
        <f t="shared" si="93"/>
        <v>1.7921102825273167E-2</v>
      </c>
    </row>
    <row r="425" spans="2:16" ht="45" x14ac:dyDescent="0.25">
      <c r="B425" s="29">
        <v>260</v>
      </c>
      <c r="C425" s="34" t="s">
        <v>945</v>
      </c>
      <c r="D425" s="35" t="s">
        <v>946</v>
      </c>
      <c r="E425" s="35" t="s">
        <v>947</v>
      </c>
      <c r="F425" s="74">
        <v>270</v>
      </c>
      <c r="G425" s="75">
        <v>1</v>
      </c>
      <c r="H425" s="76">
        <f>F425 * G425 * 3.659942</f>
        <v>988.18434000000002</v>
      </c>
      <c r="I425" s="76">
        <f>F425 * G425 * 0</f>
        <v>0</v>
      </c>
      <c r="J425" s="76">
        <f>F425 * G425 * 0</f>
        <v>0</v>
      </c>
      <c r="K425" s="76">
        <f>F425 * G425 * 3.484264</f>
        <v>940.75127999999995</v>
      </c>
      <c r="L425" s="76">
        <f>F425 * G425 * 0.750142</f>
        <v>202.53834000000001</v>
      </c>
      <c r="M425" s="76">
        <f>F425 * G425 * 0.731988</f>
        <v>197.63675999999998</v>
      </c>
      <c r="N425" s="77">
        <f>SUM(H425:M425)</f>
        <v>2329.1107199999997</v>
      </c>
      <c r="O425" s="10">
        <f>N425*1.07*1.09*1.05</f>
        <v>2852.2639243727999</v>
      </c>
      <c r="P425" s="78">
        <f t="shared" si="93"/>
        <v>1.6458154020523471E-2</v>
      </c>
    </row>
    <row r="426" spans="2:16" x14ac:dyDescent="0.25">
      <c r="B426" s="79"/>
      <c r="C426" s="80" t="s">
        <v>948</v>
      </c>
      <c r="D426" s="104" t="s">
        <v>949</v>
      </c>
      <c r="E426" s="104"/>
      <c r="F426" s="104"/>
      <c r="G426" s="104"/>
      <c r="H426" s="104"/>
      <c r="I426" s="104"/>
      <c r="J426" s="104"/>
      <c r="K426" s="104"/>
      <c r="L426" s="104"/>
      <c r="M426" s="104"/>
      <c r="N426" s="104"/>
      <c r="O426" s="104"/>
      <c r="P426" s="104"/>
    </row>
    <row r="427" spans="2:16" ht="45" x14ac:dyDescent="0.25">
      <c r="B427" s="29">
        <v>261</v>
      </c>
      <c r="C427" s="34" t="s">
        <v>950</v>
      </c>
      <c r="D427" s="35" t="s">
        <v>951</v>
      </c>
      <c r="E427" s="35" t="s">
        <v>952</v>
      </c>
      <c r="F427" s="74">
        <v>7</v>
      </c>
      <c r="G427" s="75">
        <v>1</v>
      </c>
      <c r="H427" s="76">
        <f>F427 * G427 * 188.76312</f>
        <v>1321.3418399999998</v>
      </c>
      <c r="I427" s="76">
        <f t="shared" ref="I427:I436" si="94">F427 * G427 * 0</f>
        <v>0</v>
      </c>
      <c r="J427" s="76">
        <f t="shared" ref="J427:J436" si="95">F427 * G427 * 0</f>
        <v>0</v>
      </c>
      <c r="K427" s="76">
        <f>F427 * G427 * 179.70249</f>
        <v>1257.91743</v>
      </c>
      <c r="L427" s="76">
        <f>F427 * G427 * 38.688889</f>
        <v>270.82222300000001</v>
      </c>
      <c r="M427" s="76">
        <f>F427 * G427 * 37.752624</f>
        <v>264.26836800000001</v>
      </c>
      <c r="N427" s="77">
        <f t="shared" ref="N427:N436" si="96">SUM(H427:M427)</f>
        <v>3114.3498609999997</v>
      </c>
      <c r="O427" s="10">
        <f t="shared" ref="O427:O436" si="97">N427*1.07*1.09*1.05</f>
        <v>3813.8795550285154</v>
      </c>
      <c r="P427" s="78">
        <f t="shared" ref="P427:P436" si="98">IF($P$9&gt;0,O427/$P$9/12,0)</f>
        <v>2.2006875519483191E-2</v>
      </c>
    </row>
    <row r="428" spans="2:16" ht="45" x14ac:dyDescent="0.25">
      <c r="B428" s="29">
        <v>262</v>
      </c>
      <c r="C428" s="34" t="s">
        <v>953</v>
      </c>
      <c r="D428" s="35" t="s">
        <v>954</v>
      </c>
      <c r="E428" s="35" t="s">
        <v>955</v>
      </c>
      <c r="F428" s="74">
        <v>4.4000000000000004</v>
      </c>
      <c r="G428" s="75">
        <v>1</v>
      </c>
      <c r="H428" s="76">
        <f>F428 * G428 * 44.56907</f>
        <v>196.10390800000002</v>
      </c>
      <c r="I428" s="76">
        <f t="shared" si="94"/>
        <v>0</v>
      </c>
      <c r="J428" s="76">
        <f t="shared" si="95"/>
        <v>0</v>
      </c>
      <c r="K428" s="76">
        <f>F428 * G428 * 42.429755</f>
        <v>186.69092200000003</v>
      </c>
      <c r="L428" s="76">
        <f>F428 * G428 * 9.134876</f>
        <v>40.193454400000007</v>
      </c>
      <c r="M428" s="76">
        <f>F428 * G428 * 8.913814</f>
        <v>39.220781600000002</v>
      </c>
      <c r="N428" s="77">
        <f t="shared" si="96"/>
        <v>462.20906600000006</v>
      </c>
      <c r="O428" s="10">
        <f t="shared" si="97"/>
        <v>566.02815535959019</v>
      </c>
      <c r="P428" s="78">
        <f t="shared" si="98"/>
        <v>3.266099774728744E-3</v>
      </c>
    </row>
    <row r="429" spans="2:16" ht="45" x14ac:dyDescent="0.25">
      <c r="B429" s="29">
        <v>263</v>
      </c>
      <c r="C429" s="34" t="s">
        <v>956</v>
      </c>
      <c r="D429" s="35" t="s">
        <v>957</v>
      </c>
      <c r="E429" s="35" t="s">
        <v>955</v>
      </c>
      <c r="F429" s="74">
        <v>1.7</v>
      </c>
      <c r="G429" s="75">
        <v>1</v>
      </c>
      <c r="H429" s="76">
        <f>F429 * G429 * 57.67762</f>
        <v>98.051953999999995</v>
      </c>
      <c r="I429" s="76">
        <f t="shared" si="94"/>
        <v>0</v>
      </c>
      <c r="J429" s="76">
        <f t="shared" si="95"/>
        <v>0</v>
      </c>
      <c r="K429" s="76">
        <f>F429 * G429 * 54.909094</f>
        <v>93.3454598</v>
      </c>
      <c r="L429" s="76">
        <f>F429 * G429 * 11.821605</f>
        <v>20.096728500000001</v>
      </c>
      <c r="M429" s="76">
        <f>F429 * G429 * 11.535524</f>
        <v>19.610390800000001</v>
      </c>
      <c r="N429" s="77">
        <f t="shared" si="96"/>
        <v>231.1045331</v>
      </c>
      <c r="O429" s="10">
        <f t="shared" si="97"/>
        <v>283.01407780225657</v>
      </c>
      <c r="P429" s="78">
        <f t="shared" si="98"/>
        <v>1.6330498880709999E-3</v>
      </c>
    </row>
    <row r="430" spans="2:16" ht="45" x14ac:dyDescent="0.25">
      <c r="B430" s="29">
        <v>264</v>
      </c>
      <c r="C430" s="34" t="s">
        <v>958</v>
      </c>
      <c r="D430" s="35" t="s">
        <v>959</v>
      </c>
      <c r="E430" s="35" t="s">
        <v>955</v>
      </c>
      <c r="F430" s="74">
        <v>2.4</v>
      </c>
      <c r="G430" s="75">
        <v>1</v>
      </c>
      <c r="H430" s="76">
        <f>F430 * G430 * 91.75985</f>
        <v>220.22363999999999</v>
      </c>
      <c r="I430" s="76">
        <f t="shared" si="94"/>
        <v>0</v>
      </c>
      <c r="J430" s="76">
        <f t="shared" si="95"/>
        <v>0</v>
      </c>
      <c r="K430" s="76">
        <f>F430 * G430 * 87.355377</f>
        <v>209.65290480000002</v>
      </c>
      <c r="L430" s="76">
        <f>F430 * G430 * 18.8070989999999</f>
        <v>45.137037599999765</v>
      </c>
      <c r="M430" s="76">
        <f>F430 * G430 * 18.35197</f>
        <v>44.044727999999999</v>
      </c>
      <c r="N430" s="77">
        <f t="shared" si="96"/>
        <v>519.05831039999975</v>
      </c>
      <c r="O430" s="10">
        <f t="shared" si="97"/>
        <v>635.64659279049579</v>
      </c>
      <c r="P430" s="78">
        <f t="shared" si="98"/>
        <v>3.6678125882293297E-3</v>
      </c>
    </row>
    <row r="431" spans="2:16" x14ac:dyDescent="0.25">
      <c r="B431" s="29">
        <v>265</v>
      </c>
      <c r="C431" s="34" t="s">
        <v>960</v>
      </c>
      <c r="D431" s="35" t="s">
        <v>961</v>
      </c>
      <c r="E431" s="35" t="s">
        <v>962</v>
      </c>
      <c r="F431" s="74">
        <v>311.62880000000001</v>
      </c>
      <c r="G431" s="75">
        <v>1</v>
      </c>
      <c r="H431" s="76">
        <f>F431 * G431 * 10.48684</f>
        <v>3268.0013649920002</v>
      </c>
      <c r="I431" s="76">
        <f t="shared" si="94"/>
        <v>0</v>
      </c>
      <c r="J431" s="76">
        <f t="shared" si="95"/>
        <v>0</v>
      </c>
      <c r="K431" s="76">
        <f>F431 * G431 * 9.98347199999999</f>
        <v>3111.137399193597</v>
      </c>
      <c r="L431" s="76">
        <f>F431 * G431 * 2.149383</f>
        <v>669.80964503040002</v>
      </c>
      <c r="M431" s="76">
        <f>F431 * G431 * 2.097368</f>
        <v>653.60027299839999</v>
      </c>
      <c r="N431" s="77">
        <f t="shared" si="96"/>
        <v>7702.5486822143976</v>
      </c>
      <c r="O431" s="10">
        <f t="shared" si="97"/>
        <v>9432.6566544699872</v>
      </c>
      <c r="P431" s="78">
        <f t="shared" si="98"/>
        <v>5.4428383963843807E-2</v>
      </c>
    </row>
    <row r="432" spans="2:16" ht="30" x14ac:dyDescent="0.25">
      <c r="B432" s="29">
        <v>266</v>
      </c>
      <c r="C432" s="34" t="s">
        <v>963</v>
      </c>
      <c r="D432" s="35" t="s">
        <v>964</v>
      </c>
      <c r="E432" s="35" t="s">
        <v>965</v>
      </c>
      <c r="F432" s="74">
        <v>270</v>
      </c>
      <c r="G432" s="75">
        <v>1</v>
      </c>
      <c r="H432" s="76">
        <f>F432 * G432 * 55.05591</f>
        <v>14865.0957</v>
      </c>
      <c r="I432" s="76">
        <f t="shared" si="94"/>
        <v>0</v>
      </c>
      <c r="J432" s="76">
        <f t="shared" si="95"/>
        <v>0</v>
      </c>
      <c r="K432" s="76">
        <f>F432 * G432 * 52.413227</f>
        <v>14151.57129</v>
      </c>
      <c r="L432" s="76">
        <f>F432 * G432 * 11.28426</f>
        <v>3046.7501999999999</v>
      </c>
      <c r="M432" s="76">
        <f>F432 * G432 * 11.011182</f>
        <v>2973.0191399999999</v>
      </c>
      <c r="N432" s="77">
        <f t="shared" si="96"/>
        <v>35036.436329999997</v>
      </c>
      <c r="O432" s="10">
        <f t="shared" si="97"/>
        <v>42906.145476262951</v>
      </c>
      <c r="P432" s="78">
        <f t="shared" si="98"/>
        <v>0.24757735237653458</v>
      </c>
    </row>
    <row r="433" spans="2:16" ht="30" x14ac:dyDescent="0.25">
      <c r="B433" s="29">
        <v>267</v>
      </c>
      <c r="C433" s="34" t="s">
        <v>966</v>
      </c>
      <c r="D433" s="35" t="s">
        <v>967</v>
      </c>
      <c r="E433" s="35" t="s">
        <v>965</v>
      </c>
      <c r="F433" s="74">
        <v>270</v>
      </c>
      <c r="G433" s="75">
        <v>1</v>
      </c>
      <c r="H433" s="76">
        <f>F433 * G433 * 55.05591</f>
        <v>14865.0957</v>
      </c>
      <c r="I433" s="76">
        <f t="shared" si="94"/>
        <v>0</v>
      </c>
      <c r="J433" s="76">
        <f t="shared" si="95"/>
        <v>0</v>
      </c>
      <c r="K433" s="76">
        <f>F433 * G433 * 52.413227</f>
        <v>14151.57129</v>
      </c>
      <c r="L433" s="76">
        <f>F433 * G433 * 11.28426</f>
        <v>3046.7501999999999</v>
      </c>
      <c r="M433" s="76">
        <f>F433 * G433 * 11.011182</f>
        <v>2973.0191399999999</v>
      </c>
      <c r="N433" s="77">
        <f t="shared" si="96"/>
        <v>35036.436329999997</v>
      </c>
      <c r="O433" s="10">
        <f t="shared" si="97"/>
        <v>42906.145476262951</v>
      </c>
      <c r="P433" s="78">
        <f t="shared" si="98"/>
        <v>0.24757735237653458</v>
      </c>
    </row>
    <row r="434" spans="2:16" ht="30" x14ac:dyDescent="0.25">
      <c r="B434" s="29">
        <v>268</v>
      </c>
      <c r="C434" s="34" t="s">
        <v>968</v>
      </c>
      <c r="D434" s="35" t="s">
        <v>969</v>
      </c>
      <c r="E434" s="35" t="s">
        <v>970</v>
      </c>
      <c r="F434" s="74">
        <v>1.0815999999999999</v>
      </c>
      <c r="G434" s="75">
        <v>1</v>
      </c>
      <c r="H434" s="76">
        <f>F434 * G434 * 163.976805</f>
        <v>177.357312288</v>
      </c>
      <c r="I434" s="76">
        <f t="shared" si="94"/>
        <v>0</v>
      </c>
      <c r="J434" s="76">
        <f t="shared" si="95"/>
        <v>0</v>
      </c>
      <c r="K434" s="76">
        <f>F434 * G434 * 156.105918</f>
        <v>168.84416090879998</v>
      </c>
      <c r="L434" s="76">
        <f>F434 * G434 * 33.608686</f>
        <v>36.351154777599994</v>
      </c>
      <c r="M434" s="76">
        <f>F434 * G434 * 32.795361</f>
        <v>35.471462457599998</v>
      </c>
      <c r="N434" s="77">
        <f t="shared" si="96"/>
        <v>418.02409043199998</v>
      </c>
      <c r="O434" s="10">
        <f t="shared" si="97"/>
        <v>511.91857150438375</v>
      </c>
      <c r="P434" s="78">
        <f t="shared" si="98"/>
        <v>2.9538762608155825E-3</v>
      </c>
    </row>
    <row r="435" spans="2:16" ht="30" x14ac:dyDescent="0.25">
      <c r="B435" s="29">
        <v>269</v>
      </c>
      <c r="C435" s="34" t="s">
        <v>971</v>
      </c>
      <c r="D435" s="35" t="s">
        <v>972</v>
      </c>
      <c r="E435" s="35" t="s">
        <v>973</v>
      </c>
      <c r="F435" s="74">
        <v>40.815800000000003</v>
      </c>
      <c r="G435" s="75">
        <v>1</v>
      </c>
      <c r="H435" s="76">
        <f>F435 * G435 * 34.20618</f>
        <v>1396.1526016440002</v>
      </c>
      <c r="I435" s="76">
        <f t="shared" si="94"/>
        <v>0</v>
      </c>
      <c r="J435" s="76">
        <f t="shared" si="95"/>
        <v>0</v>
      </c>
      <c r="K435" s="76">
        <f>F435 * G435 * 32.564283</f>
        <v>1329.1372620714003</v>
      </c>
      <c r="L435" s="76">
        <f>F435 * G435 * 7.010898</f>
        <v>286.1554105884</v>
      </c>
      <c r="M435" s="76">
        <f>F435 * G435 * 6.841236</f>
        <v>279.23052032880003</v>
      </c>
      <c r="N435" s="77">
        <f t="shared" si="96"/>
        <v>3290.6757946326006</v>
      </c>
      <c r="O435" s="10">
        <f t="shared" si="97"/>
        <v>4029.810938244003</v>
      </c>
      <c r="P435" s="78">
        <f t="shared" si="98"/>
        <v>2.325284435583716E-2</v>
      </c>
    </row>
    <row r="436" spans="2:16" x14ac:dyDescent="0.25">
      <c r="B436" s="29">
        <v>270</v>
      </c>
      <c r="C436" s="34" t="s">
        <v>974</v>
      </c>
      <c r="D436" s="35" t="s">
        <v>975</v>
      </c>
      <c r="E436" s="35" t="s">
        <v>976</v>
      </c>
      <c r="F436" s="74">
        <v>4</v>
      </c>
      <c r="G436" s="75">
        <v>1</v>
      </c>
      <c r="H436" s="76">
        <f>F436 * G436 * 17.537411</f>
        <v>70.149643999999995</v>
      </c>
      <c r="I436" s="76">
        <f t="shared" si="94"/>
        <v>0</v>
      </c>
      <c r="J436" s="76">
        <f t="shared" si="95"/>
        <v>0</v>
      </c>
      <c r="K436" s="76">
        <f>F436 * G436 * 16.695615</f>
        <v>66.78246</v>
      </c>
      <c r="L436" s="76">
        <f>F436 * G436 * 3.594468</f>
        <v>14.377872</v>
      </c>
      <c r="M436" s="76">
        <f>F436 * G436 * 3.507482</f>
        <v>14.029928</v>
      </c>
      <c r="N436" s="77">
        <f t="shared" si="96"/>
        <v>165.33990399999999</v>
      </c>
      <c r="O436" s="10">
        <f t="shared" si="97"/>
        <v>202.47772653696003</v>
      </c>
      <c r="P436" s="78">
        <f t="shared" si="98"/>
        <v>1.1683384488353416E-3</v>
      </c>
    </row>
    <row r="437" spans="2:16" ht="16.5" customHeight="1" x14ac:dyDescent="0.25">
      <c r="B437" s="106" t="s">
        <v>387</v>
      </c>
      <c r="C437" s="106"/>
      <c r="D437" s="106"/>
      <c r="E437" s="106"/>
      <c r="F437" s="106"/>
      <c r="G437" s="106"/>
      <c r="H437" s="22">
        <f t="shared" ref="H437:O437" si="99">SUM(H401:H436)</f>
        <v>50044.745894170388</v>
      </c>
      <c r="I437" s="22">
        <f t="shared" si="99"/>
        <v>48891.355600652401</v>
      </c>
      <c r="J437" s="22">
        <f t="shared" si="99"/>
        <v>0</v>
      </c>
      <c r="K437" s="22">
        <f t="shared" si="99"/>
        <v>47642.5983460766</v>
      </c>
      <c r="L437" s="22">
        <f t="shared" si="99"/>
        <v>15390.763940727202</v>
      </c>
      <c r="M437" s="22">
        <f t="shared" si="99"/>
        <v>10008.9490867648</v>
      </c>
      <c r="N437" s="22">
        <f t="shared" si="99"/>
        <v>171978.41286839137</v>
      </c>
      <c r="O437" s="22">
        <f t="shared" si="99"/>
        <v>210607.34407482517</v>
      </c>
      <c r="P437" s="23">
        <f>SUM(P401:P436)</f>
        <v>1.2152480270208716</v>
      </c>
    </row>
    <row r="438" spans="2:16" x14ac:dyDescent="0.25">
      <c r="B438" s="99" t="s">
        <v>977</v>
      </c>
      <c r="C438" s="99"/>
      <c r="D438" s="99"/>
      <c r="E438" s="99"/>
      <c r="F438" s="99"/>
      <c r="G438" s="99"/>
      <c r="H438" s="99"/>
      <c r="I438" s="99"/>
      <c r="J438" s="99"/>
      <c r="K438" s="99"/>
      <c r="L438" s="99"/>
      <c r="M438" s="100"/>
      <c r="N438" s="100"/>
      <c r="O438" s="15"/>
      <c r="P438" s="25"/>
    </row>
    <row r="439" spans="2:16" x14ac:dyDescent="0.25">
      <c r="B439" s="99"/>
      <c r="C439" s="99"/>
      <c r="D439" s="99"/>
      <c r="E439" s="99"/>
      <c r="F439" s="99"/>
      <c r="G439" s="99"/>
      <c r="H439" s="99"/>
      <c r="I439" s="99"/>
      <c r="J439" s="99"/>
      <c r="K439" s="99"/>
      <c r="L439" s="99"/>
      <c r="M439" s="101"/>
      <c r="N439" s="101"/>
      <c r="O439" s="17"/>
      <c r="P439" s="18"/>
    </row>
    <row r="440" spans="2:16" ht="15.75" customHeight="1" x14ac:dyDescent="0.25">
      <c r="B440" s="19"/>
      <c r="C440" s="20" t="s">
        <v>327</v>
      </c>
      <c r="D440" s="102" t="s">
        <v>328</v>
      </c>
      <c r="E440" s="102"/>
      <c r="F440" s="102"/>
      <c r="G440" s="102"/>
      <c r="H440" s="102"/>
      <c r="I440" s="102"/>
      <c r="J440" s="102"/>
      <c r="K440" s="102"/>
      <c r="L440" s="102"/>
      <c r="M440" s="102"/>
      <c r="N440" s="102"/>
      <c r="O440" s="102"/>
      <c r="P440" s="102"/>
    </row>
    <row r="441" spans="2:16" ht="30" x14ac:dyDescent="0.25">
      <c r="B441" s="29">
        <v>271</v>
      </c>
      <c r="C441" s="34" t="s">
        <v>978</v>
      </c>
      <c r="D441" s="35" t="s">
        <v>979</v>
      </c>
      <c r="E441" s="35" t="s">
        <v>348</v>
      </c>
      <c r="F441" s="74">
        <v>14.442</v>
      </c>
      <c r="G441" s="75">
        <v>1</v>
      </c>
      <c r="H441" s="76">
        <f>F441 * G441 * 4697.64872</f>
        <v>67843.442814239999</v>
      </c>
      <c r="I441" s="76">
        <f>F441 * G441 * 3321.266353</f>
        <v>47965.728670026001</v>
      </c>
      <c r="J441" s="76">
        <f>F441 * G441 * 0</f>
        <v>0</v>
      </c>
      <c r="K441" s="76">
        <f>F441 * G441 * 4472.161581</f>
        <v>64586.957552802007</v>
      </c>
      <c r="L441" s="76">
        <f>F441 * G441 * 1311.563048</f>
        <v>18941.593539215999</v>
      </c>
      <c r="M441" s="76">
        <f>F441 * G441 * 939.529744</f>
        <v>13568.688562848001</v>
      </c>
      <c r="N441" s="77">
        <f>SUM(H441:M441)</f>
        <v>212906.41113913199</v>
      </c>
      <c r="O441" s="10">
        <f>N441*1.07*1.09*1.05</f>
        <v>260728.38467714819</v>
      </c>
      <c r="P441" s="78">
        <f>IF($P$9&gt;0,O441/$P$9/12,0)</f>
        <v>1.5044568196761079</v>
      </c>
    </row>
    <row r="442" spans="2:16" x14ac:dyDescent="0.25">
      <c r="B442" s="79"/>
      <c r="C442" s="80" t="s">
        <v>980</v>
      </c>
      <c r="D442" s="103" t="s">
        <v>981</v>
      </c>
      <c r="E442" s="103"/>
      <c r="F442" s="103"/>
      <c r="G442" s="103"/>
      <c r="H442" s="103"/>
      <c r="I442" s="103"/>
      <c r="J442" s="103"/>
      <c r="K442" s="103"/>
      <c r="L442" s="103"/>
      <c r="M442" s="103"/>
      <c r="N442" s="103"/>
      <c r="O442" s="103"/>
      <c r="P442" s="103"/>
    </row>
    <row r="443" spans="2:16" ht="30" x14ac:dyDescent="0.25">
      <c r="B443" s="29">
        <v>272</v>
      </c>
      <c r="C443" s="34" t="s">
        <v>982</v>
      </c>
      <c r="D443" s="35" t="s">
        <v>983</v>
      </c>
      <c r="E443" s="35" t="s">
        <v>348</v>
      </c>
      <c r="F443" s="74">
        <v>14.442</v>
      </c>
      <c r="G443" s="75">
        <v>2</v>
      </c>
      <c r="H443" s="76">
        <f>F443 * G443 * 850.2501</f>
        <v>24558.623888400001</v>
      </c>
      <c r="I443" s="76">
        <f>F443 * G443 * 0</f>
        <v>0</v>
      </c>
      <c r="J443" s="76">
        <f>F443 * G443 * 0</f>
        <v>0</v>
      </c>
      <c r="K443" s="76">
        <f>F443 * G443 * 809.438095</f>
        <v>23379.80993598</v>
      </c>
      <c r="L443" s="76">
        <f>F443 * G443 * 174.267261</f>
        <v>5033.5355667240001</v>
      </c>
      <c r="M443" s="76">
        <f>F443 * G443 * 170.05002</f>
        <v>4911.7247776799995</v>
      </c>
      <c r="N443" s="77">
        <f>SUM(H443:M443)</f>
        <v>57883.694168784001</v>
      </c>
      <c r="O443" s="10">
        <f>N443*1.07*1.09*1.05</f>
        <v>70885.240134505439</v>
      </c>
      <c r="P443" s="78">
        <f t="shared" ref="P443:P444" si="100">IF($P$9&gt;0,O443/$P$9/12,0)</f>
        <v>0.40902252766529013</v>
      </c>
    </row>
    <row r="444" spans="2:16" ht="45" x14ac:dyDescent="0.25">
      <c r="B444" s="29">
        <v>273</v>
      </c>
      <c r="C444" s="34" t="s">
        <v>984</v>
      </c>
      <c r="D444" s="35" t="s">
        <v>985</v>
      </c>
      <c r="E444" s="35" t="s">
        <v>348</v>
      </c>
      <c r="F444" s="74">
        <v>14.442</v>
      </c>
      <c r="G444" s="75">
        <v>2</v>
      </c>
      <c r="H444" s="76">
        <f>F444 * G444 * 850.2501</f>
        <v>24558.623888400001</v>
      </c>
      <c r="I444" s="76">
        <f>F444 * G444 * 0</f>
        <v>0</v>
      </c>
      <c r="J444" s="76">
        <f>F444 * G444 * 0</f>
        <v>0</v>
      </c>
      <c r="K444" s="76">
        <f>F444 * G444 * 809.438095</f>
        <v>23379.80993598</v>
      </c>
      <c r="L444" s="76">
        <f>F444 * G444 * 174.267261</f>
        <v>5033.5355667240001</v>
      </c>
      <c r="M444" s="76">
        <f>F444 * G444 * 170.05002</f>
        <v>4911.7247776799995</v>
      </c>
      <c r="N444" s="77">
        <f>SUM(H444:M444)</f>
        <v>57883.694168784001</v>
      </c>
      <c r="O444" s="10">
        <f>N444*1.07*1.09*1.05</f>
        <v>70885.240134505439</v>
      </c>
      <c r="P444" s="78">
        <f t="shared" si="100"/>
        <v>0.40902252766529013</v>
      </c>
    </row>
    <row r="445" spans="2:16" ht="16.5" customHeight="1" x14ac:dyDescent="0.25">
      <c r="B445" s="106" t="s">
        <v>387</v>
      </c>
      <c r="C445" s="106"/>
      <c r="D445" s="106"/>
      <c r="E445" s="106"/>
      <c r="F445" s="106"/>
      <c r="G445" s="106"/>
      <c r="H445" s="22">
        <f t="shared" ref="H445:O445" si="101">SUM(H440:H444)</f>
        <v>116960.69059104001</v>
      </c>
      <c r="I445" s="22">
        <f t="shared" si="101"/>
        <v>47965.728670026001</v>
      </c>
      <c r="J445" s="22">
        <f t="shared" si="101"/>
        <v>0</v>
      </c>
      <c r="K445" s="22">
        <f t="shared" si="101"/>
        <v>111346.577424762</v>
      </c>
      <c r="L445" s="22">
        <f t="shared" si="101"/>
        <v>29008.664672663999</v>
      </c>
      <c r="M445" s="22">
        <f t="shared" si="101"/>
        <v>23392.138118208</v>
      </c>
      <c r="N445" s="22">
        <f t="shared" si="101"/>
        <v>328673.79947670002</v>
      </c>
      <c r="O445" s="22">
        <f t="shared" si="101"/>
        <v>402498.86494615907</v>
      </c>
      <c r="P445" s="23">
        <f>SUM(P440:P444)</f>
        <v>2.3225018750066884</v>
      </c>
    </row>
    <row r="446" spans="2:16" x14ac:dyDescent="0.25">
      <c r="B446" s="99" t="s">
        <v>986</v>
      </c>
      <c r="C446" s="99"/>
      <c r="D446" s="99"/>
      <c r="E446" s="99"/>
      <c r="F446" s="99"/>
      <c r="G446" s="99"/>
      <c r="H446" s="99"/>
      <c r="I446" s="99"/>
      <c r="J446" s="99"/>
      <c r="K446" s="99"/>
      <c r="L446" s="99"/>
      <c r="M446" s="100"/>
      <c r="N446" s="100"/>
      <c r="O446" s="15"/>
      <c r="P446" s="25"/>
    </row>
    <row r="447" spans="2:16" x14ac:dyDescent="0.25">
      <c r="B447" s="99"/>
      <c r="C447" s="99"/>
      <c r="D447" s="99"/>
      <c r="E447" s="99"/>
      <c r="F447" s="99"/>
      <c r="G447" s="99"/>
      <c r="H447" s="99"/>
      <c r="I447" s="99"/>
      <c r="J447" s="99"/>
      <c r="K447" s="99"/>
      <c r="L447" s="99"/>
      <c r="M447" s="101"/>
      <c r="N447" s="101"/>
      <c r="O447" s="17"/>
      <c r="P447" s="18"/>
    </row>
    <row r="448" spans="2:16" ht="15.75" customHeight="1" x14ac:dyDescent="0.25">
      <c r="B448" s="19"/>
      <c r="C448" s="20" t="s">
        <v>987</v>
      </c>
      <c r="D448" s="102" t="s">
        <v>988</v>
      </c>
      <c r="E448" s="102"/>
      <c r="F448" s="102"/>
      <c r="G448" s="102"/>
      <c r="H448" s="102"/>
      <c r="I448" s="102"/>
      <c r="J448" s="102"/>
      <c r="K448" s="102"/>
      <c r="L448" s="102"/>
      <c r="M448" s="102"/>
      <c r="N448" s="102"/>
      <c r="O448" s="102"/>
      <c r="P448" s="102"/>
    </row>
    <row r="449" spans="2:16" x14ac:dyDescent="0.25">
      <c r="B449" s="79"/>
      <c r="C449" s="80" t="s">
        <v>989</v>
      </c>
      <c r="D449" s="103" t="s">
        <v>990</v>
      </c>
      <c r="E449" s="103"/>
      <c r="F449" s="103"/>
      <c r="G449" s="103"/>
      <c r="H449" s="103"/>
      <c r="I449" s="103"/>
      <c r="J449" s="103"/>
      <c r="K449" s="103"/>
      <c r="L449" s="103"/>
      <c r="M449" s="103"/>
      <c r="N449" s="103"/>
      <c r="O449" s="103"/>
      <c r="P449" s="103"/>
    </row>
    <row r="450" spans="2:16" x14ac:dyDescent="0.25">
      <c r="B450" s="79"/>
      <c r="C450" s="80" t="s">
        <v>991</v>
      </c>
      <c r="D450" s="104" t="s">
        <v>992</v>
      </c>
      <c r="E450" s="104"/>
      <c r="F450" s="104"/>
      <c r="G450" s="104"/>
      <c r="H450" s="104"/>
      <c r="I450" s="104"/>
      <c r="J450" s="104"/>
      <c r="K450" s="104"/>
      <c r="L450" s="104"/>
      <c r="M450" s="104"/>
      <c r="N450" s="104"/>
      <c r="O450" s="104"/>
      <c r="P450" s="104"/>
    </row>
    <row r="451" spans="2:16" x14ac:dyDescent="0.25">
      <c r="B451" s="29">
        <v>274</v>
      </c>
      <c r="C451" s="34" t="s">
        <v>993</v>
      </c>
      <c r="D451" s="35" t="s">
        <v>994</v>
      </c>
      <c r="E451" s="35" t="s">
        <v>214</v>
      </c>
      <c r="F451" s="74">
        <v>7.4241000000000001</v>
      </c>
      <c r="G451" s="75">
        <v>1</v>
      </c>
      <c r="H451" s="76">
        <f>F451 * G451 * 3246.368554</f>
        <v>24101.364781751403</v>
      </c>
      <c r="I451" s="76">
        <f>F451 * G451 * 517.948021</f>
        <v>3845.2979027061006</v>
      </c>
      <c r="J451" s="76">
        <f>F451 * G451 * 0</f>
        <v>0</v>
      </c>
      <c r="K451" s="76">
        <f>F451 * G451 * 3090.542863</f>
        <v>22944.499269198302</v>
      </c>
      <c r="L451" s="76">
        <f>F451 * G451 * 719.760241</f>
        <v>5343.5720052080997</v>
      </c>
      <c r="M451" s="76">
        <f>F451 * G451 * 649.273711</f>
        <v>4820.2729578351009</v>
      </c>
      <c r="N451" s="77">
        <f>SUM(H451:M451)</f>
        <v>61055.006916699007</v>
      </c>
      <c r="O451" s="10">
        <f>N451*1.07*1.09*1.05</f>
        <v>74768.877295293365</v>
      </c>
      <c r="P451" s="78">
        <f>IF($P$9&gt;0,O451/$P$9/12,0)</f>
        <v>0.43143191902837419</v>
      </c>
    </row>
    <row r="452" spans="2:16" x14ac:dyDescent="0.25">
      <c r="B452" s="79"/>
      <c r="C452" s="80" t="s">
        <v>995</v>
      </c>
      <c r="D452" s="103" t="s">
        <v>996</v>
      </c>
      <c r="E452" s="103"/>
      <c r="F452" s="103"/>
      <c r="G452" s="103"/>
      <c r="H452" s="103"/>
      <c r="I452" s="103"/>
      <c r="J452" s="103"/>
      <c r="K452" s="103"/>
      <c r="L452" s="103"/>
      <c r="M452" s="103"/>
      <c r="N452" s="103"/>
      <c r="O452" s="103"/>
      <c r="P452" s="103"/>
    </row>
    <row r="453" spans="2:16" x14ac:dyDescent="0.25">
      <c r="B453" s="79"/>
      <c r="C453" s="80" t="s">
        <v>997</v>
      </c>
      <c r="D453" s="104" t="s">
        <v>998</v>
      </c>
      <c r="E453" s="104"/>
      <c r="F453" s="104"/>
      <c r="G453" s="104"/>
      <c r="H453" s="104"/>
      <c r="I453" s="104"/>
      <c r="J453" s="104"/>
      <c r="K453" s="104"/>
      <c r="L453" s="104"/>
      <c r="M453" s="104"/>
      <c r="N453" s="104"/>
      <c r="O453" s="104"/>
      <c r="P453" s="104"/>
    </row>
    <row r="454" spans="2:16" ht="30" x14ac:dyDescent="0.25">
      <c r="B454" s="29">
        <v>275</v>
      </c>
      <c r="C454" s="34" t="s">
        <v>999</v>
      </c>
      <c r="D454" s="35" t="s">
        <v>1000</v>
      </c>
      <c r="E454" s="35" t="s">
        <v>1001</v>
      </c>
      <c r="F454" s="74">
        <v>3.5000000000000003E-2</v>
      </c>
      <c r="G454" s="75">
        <v>1</v>
      </c>
      <c r="H454" s="76">
        <f>F454 * G454 * 123108.11686</f>
        <v>4308.7840901</v>
      </c>
      <c r="I454" s="76">
        <f>F454 * G454 * 64495.72134</f>
        <v>2257.3502469</v>
      </c>
      <c r="J454" s="76">
        <f>F454 * G454 * 717.56692</f>
        <v>25.114842200000002</v>
      </c>
      <c r="K454" s="76">
        <f>F454 * G454 * 117798.394095</f>
        <v>4122.9437933250001</v>
      </c>
      <c r="L454" s="76">
        <f>F454 * G454 * 32142.578917</f>
        <v>1124.9902620950002</v>
      </c>
      <c r="M454" s="76">
        <f>F454 * G454 * 24747.561785</f>
        <v>866.16466247500011</v>
      </c>
      <c r="N454" s="77">
        <f>SUM(H454:M454)</f>
        <v>12705.347897094998</v>
      </c>
      <c r="O454" s="10">
        <f>N454*1.07*1.09*1.05</f>
        <v>15559.159615000994</v>
      </c>
      <c r="P454" s="78">
        <f>IF($P$9&gt;0,O454/$P$9/12,0)</f>
        <v>8.9779575860920655E-2</v>
      </c>
    </row>
    <row r="455" spans="2:16" ht="15" customHeight="1" x14ac:dyDescent="0.25">
      <c r="B455" s="19"/>
      <c r="C455" s="20" t="s">
        <v>327</v>
      </c>
      <c r="D455" s="102" t="s">
        <v>328</v>
      </c>
      <c r="E455" s="102"/>
      <c r="F455" s="102"/>
      <c r="G455" s="102"/>
      <c r="H455" s="102"/>
      <c r="I455" s="102"/>
      <c r="J455" s="102"/>
      <c r="K455" s="102"/>
      <c r="L455" s="102"/>
      <c r="M455" s="102"/>
      <c r="N455" s="102"/>
      <c r="O455" s="102"/>
      <c r="P455" s="102"/>
    </row>
    <row r="456" spans="2:16" x14ac:dyDescent="0.25">
      <c r="B456" s="79"/>
      <c r="C456" s="80" t="s">
        <v>980</v>
      </c>
      <c r="D456" s="103" t="s">
        <v>981</v>
      </c>
      <c r="E456" s="103"/>
      <c r="F456" s="103"/>
      <c r="G456" s="103"/>
      <c r="H456" s="103"/>
      <c r="I456" s="103"/>
      <c r="J456" s="103"/>
      <c r="K456" s="103"/>
      <c r="L456" s="103"/>
      <c r="M456" s="103"/>
      <c r="N456" s="103"/>
      <c r="O456" s="103"/>
      <c r="P456" s="103"/>
    </row>
    <row r="457" spans="2:16" ht="30" x14ac:dyDescent="0.25">
      <c r="B457" s="29">
        <v>276</v>
      </c>
      <c r="C457" s="34" t="s">
        <v>982</v>
      </c>
      <c r="D457" s="35" t="s">
        <v>983</v>
      </c>
      <c r="E457" s="35" t="s">
        <v>348</v>
      </c>
      <c r="F457" s="74">
        <v>14.442</v>
      </c>
      <c r="G457" s="75">
        <v>2</v>
      </c>
      <c r="H457" s="76">
        <f>F457 * G457 * 850.2501</f>
        <v>24558.623888400001</v>
      </c>
      <c r="I457" s="76">
        <f>F457 * G457 * 0</f>
        <v>0</v>
      </c>
      <c r="J457" s="76">
        <f>F457 * G457 * 0</f>
        <v>0</v>
      </c>
      <c r="K457" s="76">
        <f>F457 * G457 * 809.438095</f>
        <v>23379.80993598</v>
      </c>
      <c r="L457" s="76">
        <f>F457 * G457 * 174.267261</f>
        <v>5033.5355667240001</v>
      </c>
      <c r="M457" s="76">
        <f>F457 * G457 * 170.05002</f>
        <v>4911.7247776799995</v>
      </c>
      <c r="N457" s="77">
        <f>SUM(H457:M457)</f>
        <v>57883.694168784001</v>
      </c>
      <c r="O457" s="10">
        <f>N457*1.07*1.09*1.05</f>
        <v>70885.240134505439</v>
      </c>
      <c r="P457" s="78">
        <f t="shared" ref="P457:P458" si="102">IF($P$9&gt;0,O457/$P$9/12,0)</f>
        <v>0.40902252766529013</v>
      </c>
    </row>
    <row r="458" spans="2:16" ht="45" x14ac:dyDescent="0.25">
      <c r="B458" s="29">
        <v>277</v>
      </c>
      <c r="C458" s="34" t="s">
        <v>984</v>
      </c>
      <c r="D458" s="35" t="s">
        <v>985</v>
      </c>
      <c r="E458" s="35" t="s">
        <v>348</v>
      </c>
      <c r="F458" s="74">
        <v>14.442</v>
      </c>
      <c r="G458" s="75">
        <v>4</v>
      </c>
      <c r="H458" s="76">
        <f>F458 * G458 * 850.2501</f>
        <v>49117.247776800003</v>
      </c>
      <c r="I458" s="76">
        <f>F458 * G458 * 0</f>
        <v>0</v>
      </c>
      <c r="J458" s="76">
        <f>F458 * G458 * 0</f>
        <v>0</v>
      </c>
      <c r="K458" s="76">
        <f>F458 * G458 * 809.438095</f>
        <v>46759.61987196</v>
      </c>
      <c r="L458" s="76">
        <f>F458 * G458 * 174.267261</f>
        <v>10067.071133448</v>
      </c>
      <c r="M458" s="76">
        <f>F458 * G458 * 170.05002</f>
        <v>9823.4495553599991</v>
      </c>
      <c r="N458" s="77">
        <f>SUM(H458:M458)</f>
        <v>115767.388337568</v>
      </c>
      <c r="O458" s="10">
        <f>N458*1.07*1.09*1.05</f>
        <v>141770.48026901088</v>
      </c>
      <c r="P458" s="78">
        <f t="shared" si="102"/>
        <v>0.81804505533058025</v>
      </c>
    </row>
    <row r="459" spans="2:16" ht="16.5" customHeight="1" x14ac:dyDescent="0.25">
      <c r="B459" s="106" t="s">
        <v>387</v>
      </c>
      <c r="C459" s="106"/>
      <c r="D459" s="106"/>
      <c r="E459" s="106"/>
      <c r="F459" s="106"/>
      <c r="G459" s="106"/>
      <c r="H459" s="22">
        <f t="shared" ref="H459:O459" si="103">SUM(H448:H458)</f>
        <v>102086.0205370514</v>
      </c>
      <c r="I459" s="22">
        <f t="shared" si="103"/>
        <v>6102.6481496061006</v>
      </c>
      <c r="J459" s="22">
        <f t="shared" si="103"/>
        <v>25.114842200000002</v>
      </c>
      <c r="K459" s="22">
        <f t="shared" si="103"/>
        <v>97206.872870463296</v>
      </c>
      <c r="L459" s="22">
        <f t="shared" si="103"/>
        <v>21569.1689674751</v>
      </c>
      <c r="M459" s="22">
        <f t="shared" si="103"/>
        <v>20421.611953350101</v>
      </c>
      <c r="N459" s="22">
        <f t="shared" si="103"/>
        <v>247411.43732014601</v>
      </c>
      <c r="O459" s="22">
        <f t="shared" si="103"/>
        <v>302983.75731381064</v>
      </c>
      <c r="P459" s="23">
        <f>SUM(P448:P458)</f>
        <v>1.7482790778851651</v>
      </c>
    </row>
    <row r="460" spans="2:16" x14ac:dyDescent="0.25">
      <c r="B460" s="99" t="s">
        <v>1002</v>
      </c>
      <c r="C460" s="99"/>
      <c r="D460" s="99"/>
      <c r="E460" s="99"/>
      <c r="F460" s="99"/>
      <c r="G460" s="99"/>
      <c r="H460" s="99"/>
      <c r="I460" s="99"/>
      <c r="J460" s="99"/>
      <c r="K460" s="99"/>
      <c r="L460" s="99"/>
      <c r="M460" s="100"/>
      <c r="N460" s="100"/>
      <c r="O460" s="15"/>
      <c r="P460" s="25"/>
    </row>
    <row r="461" spans="2:16" x14ac:dyDescent="0.25">
      <c r="B461" s="99"/>
      <c r="C461" s="99"/>
      <c r="D461" s="99"/>
      <c r="E461" s="99"/>
      <c r="F461" s="99"/>
      <c r="G461" s="99"/>
      <c r="H461" s="99"/>
      <c r="I461" s="99"/>
      <c r="J461" s="99"/>
      <c r="K461" s="99"/>
      <c r="L461" s="99"/>
      <c r="M461" s="101"/>
      <c r="N461" s="101"/>
      <c r="O461" s="17"/>
      <c r="P461" s="18"/>
    </row>
    <row r="462" spans="2:16" ht="15.75" customHeight="1" x14ac:dyDescent="0.25">
      <c r="B462" s="19"/>
      <c r="C462" s="20" t="s">
        <v>1003</v>
      </c>
      <c r="D462" s="102" t="s">
        <v>1004</v>
      </c>
      <c r="E462" s="102"/>
      <c r="F462" s="102"/>
      <c r="G462" s="102"/>
      <c r="H462" s="102"/>
      <c r="I462" s="102"/>
      <c r="J462" s="102"/>
      <c r="K462" s="102"/>
      <c r="L462" s="102"/>
      <c r="M462" s="102"/>
      <c r="N462" s="102"/>
      <c r="O462" s="102"/>
      <c r="P462" s="102"/>
    </row>
    <row r="463" spans="2:16" x14ac:dyDescent="0.25">
      <c r="B463" s="79"/>
      <c r="C463" s="80" t="s">
        <v>1005</v>
      </c>
      <c r="D463" s="103" t="s">
        <v>1006</v>
      </c>
      <c r="E463" s="103"/>
      <c r="F463" s="103"/>
      <c r="G463" s="103"/>
      <c r="H463" s="103"/>
      <c r="I463" s="103"/>
      <c r="J463" s="103"/>
      <c r="K463" s="103"/>
      <c r="L463" s="103"/>
      <c r="M463" s="103"/>
      <c r="N463" s="103"/>
      <c r="O463" s="103"/>
      <c r="P463" s="103"/>
    </row>
    <row r="464" spans="2:16" x14ac:dyDescent="0.25">
      <c r="B464" s="79"/>
      <c r="C464" s="80" t="s">
        <v>1007</v>
      </c>
      <c r="D464" s="104" t="s">
        <v>1008</v>
      </c>
      <c r="E464" s="104"/>
      <c r="F464" s="104"/>
      <c r="G464" s="104"/>
      <c r="H464" s="104"/>
      <c r="I464" s="104"/>
      <c r="J464" s="104"/>
      <c r="K464" s="104"/>
      <c r="L464" s="104"/>
      <c r="M464" s="104"/>
      <c r="N464" s="104"/>
      <c r="O464" s="104"/>
      <c r="P464" s="104"/>
    </row>
    <row r="465" spans="2:16" ht="45" x14ac:dyDescent="0.25">
      <c r="B465" s="29">
        <v>278</v>
      </c>
      <c r="C465" s="34" t="s">
        <v>1009</v>
      </c>
      <c r="D465" s="35" t="s">
        <v>1010</v>
      </c>
      <c r="E465" s="35" t="s">
        <v>1011</v>
      </c>
      <c r="F465" s="74">
        <v>7</v>
      </c>
      <c r="G465" s="75">
        <v>5</v>
      </c>
      <c r="H465" s="76">
        <f>F465 * G465 * 492.88148</f>
        <v>17250.8518</v>
      </c>
      <c r="I465" s="76">
        <f>F465 * G465 * 0</f>
        <v>0</v>
      </c>
      <c r="J465" s="76">
        <f>F465 * G465 * 0</f>
        <v>0</v>
      </c>
      <c r="K465" s="76">
        <f>F465 * G465 * 469.223169</f>
        <v>16422.810914999998</v>
      </c>
      <c r="L465" s="76">
        <f>F465 * G465 * 101.020988</f>
        <v>3535.7345800000003</v>
      </c>
      <c r="M465" s="76">
        <f>F465 * G465 * 98.576296</f>
        <v>3450.1703600000001</v>
      </c>
      <c r="N465" s="77">
        <f>SUM(H465:M465)</f>
        <v>40659.567655000006</v>
      </c>
      <c r="O465" s="10">
        <f>N465*1.07*1.09*1.05</f>
        <v>49792.31644382784</v>
      </c>
      <c r="P465" s="78">
        <f t="shared" ref="P465:P466" si="104">IF($P$9&gt;0,O465/$P$9/12,0)</f>
        <v>0.28731198612742831</v>
      </c>
    </row>
    <row r="466" spans="2:16" x14ac:dyDescent="0.25">
      <c r="B466" s="29">
        <v>279</v>
      </c>
      <c r="C466" s="34" t="s">
        <v>1012</v>
      </c>
      <c r="D466" s="35" t="s">
        <v>1013</v>
      </c>
      <c r="E466" s="35" t="s">
        <v>1014</v>
      </c>
      <c r="F466" s="74">
        <v>14.442</v>
      </c>
      <c r="G466" s="75">
        <v>6</v>
      </c>
      <c r="H466" s="76">
        <f>F466 * G466 * 101.22025</f>
        <v>8770.9371030000002</v>
      </c>
      <c r="I466" s="76">
        <f>F466 * G466 * 0</f>
        <v>0</v>
      </c>
      <c r="J466" s="76">
        <f>F466 * G466 * 0</f>
        <v>0</v>
      </c>
      <c r="K466" s="76">
        <f>F466 * G466 * 96.361677</f>
        <v>8349.932035404001</v>
      </c>
      <c r="L466" s="76">
        <f>F466 * G466 * 20.7461029999999</f>
        <v>1797.6913171559913</v>
      </c>
      <c r="M466" s="76">
        <f>F466 * G466 * 20.24405</f>
        <v>1754.1874206000002</v>
      </c>
      <c r="N466" s="77">
        <f>SUM(H466:M466)</f>
        <v>20672.747876159989</v>
      </c>
      <c r="O466" s="10">
        <f>N466*1.07*1.09*1.05</f>
        <v>25316.15714036367</v>
      </c>
      <c r="P466" s="78">
        <f t="shared" si="104"/>
        <v>0.14607947387459994</v>
      </c>
    </row>
    <row r="467" spans="2:16" x14ac:dyDescent="0.25">
      <c r="B467" s="79"/>
      <c r="C467" s="80" t="s">
        <v>1015</v>
      </c>
      <c r="D467" s="103" t="s">
        <v>1016</v>
      </c>
      <c r="E467" s="103"/>
      <c r="F467" s="103"/>
      <c r="G467" s="103"/>
      <c r="H467" s="103"/>
      <c r="I467" s="103"/>
      <c r="J467" s="103"/>
      <c r="K467" s="103"/>
      <c r="L467" s="103"/>
      <c r="M467" s="103"/>
      <c r="N467" s="103"/>
      <c r="O467" s="103"/>
      <c r="P467" s="103"/>
    </row>
    <row r="468" spans="2:16" x14ac:dyDescent="0.25">
      <c r="B468" s="29">
        <v>280</v>
      </c>
      <c r="C468" s="34" t="s">
        <v>1017</v>
      </c>
      <c r="D468" s="35" t="s">
        <v>1018</v>
      </c>
      <c r="E468" s="35" t="s">
        <v>1011</v>
      </c>
      <c r="F468" s="74">
        <v>7</v>
      </c>
      <c r="G468" s="75">
        <v>6</v>
      </c>
      <c r="H468" s="76">
        <f>F468 * G468 * 334.026825</f>
        <v>14029.126649999998</v>
      </c>
      <c r="I468" s="76">
        <f>F468 * G468 * 87.928396</f>
        <v>3692.9926320000004</v>
      </c>
      <c r="J468" s="76">
        <f>F468 * G468 * 0</f>
        <v>0</v>
      </c>
      <c r="K468" s="76">
        <f>F468 * G468 * 317.993537</f>
        <v>13355.728553999999</v>
      </c>
      <c r="L468" s="76">
        <f>F468 * G468 * 77.69462</f>
        <v>3263.1740399999999</v>
      </c>
      <c r="M468" s="76">
        <f>F468 * G468 * 66.805365</f>
        <v>2805.8253299999997</v>
      </c>
      <c r="N468" s="77">
        <f>SUM(H468:M468)</f>
        <v>37146.847205999999</v>
      </c>
      <c r="O468" s="10">
        <f>N468*1.07*1.09*1.05</f>
        <v>45490.586291175699</v>
      </c>
      <c r="P468" s="78">
        <f>IF($P$9&gt;0,O468/$P$9/12,0)</f>
        <v>0.26249011154489049</v>
      </c>
    </row>
    <row r="469" spans="2:16" ht="16.5" customHeight="1" x14ac:dyDescent="0.25">
      <c r="B469" s="106" t="s">
        <v>387</v>
      </c>
      <c r="C469" s="106"/>
      <c r="D469" s="106"/>
      <c r="E469" s="106"/>
      <c r="F469" s="106"/>
      <c r="G469" s="106"/>
      <c r="H469" s="22">
        <f t="shared" ref="H469:O469" si="105">SUM(H462:H468)</f>
        <v>40050.915552999999</v>
      </c>
      <c r="I469" s="22">
        <f t="shared" si="105"/>
        <v>3692.9926320000004</v>
      </c>
      <c r="J469" s="22">
        <f t="shared" si="105"/>
        <v>0</v>
      </c>
      <c r="K469" s="22">
        <f t="shared" si="105"/>
        <v>38128.471504403999</v>
      </c>
      <c r="L469" s="22">
        <f t="shared" si="105"/>
        <v>8596.5999371559919</v>
      </c>
      <c r="M469" s="22">
        <f t="shared" si="105"/>
        <v>8010.1831106</v>
      </c>
      <c r="N469" s="22">
        <f t="shared" si="105"/>
        <v>98479.16273715999</v>
      </c>
      <c r="O469" s="22">
        <f t="shared" si="105"/>
        <v>120599.05987536721</v>
      </c>
      <c r="P469" s="23">
        <f>SUM(P462:P468)</f>
        <v>0.69588157154691865</v>
      </c>
    </row>
    <row r="470" spans="2:16" x14ac:dyDescent="0.25">
      <c r="B470" s="99" t="s">
        <v>1019</v>
      </c>
      <c r="C470" s="99"/>
      <c r="D470" s="99"/>
      <c r="E470" s="99"/>
      <c r="F470" s="99"/>
      <c r="G470" s="99"/>
      <c r="H470" s="99"/>
      <c r="I470" s="99"/>
      <c r="J470" s="99"/>
      <c r="K470" s="99"/>
      <c r="L470" s="99"/>
      <c r="M470" s="107"/>
      <c r="N470" s="107"/>
      <c r="O470" s="26"/>
      <c r="P470" s="25"/>
    </row>
    <row r="471" spans="2:16" x14ac:dyDescent="0.25">
      <c r="B471" s="99"/>
      <c r="C471" s="99"/>
      <c r="D471" s="99"/>
      <c r="E471" s="99"/>
      <c r="F471" s="99"/>
      <c r="G471" s="99"/>
      <c r="H471" s="99"/>
      <c r="I471" s="99"/>
      <c r="J471" s="99"/>
      <c r="K471" s="99"/>
      <c r="L471" s="99"/>
      <c r="M471" s="108"/>
      <c r="N471" s="108"/>
      <c r="O471" s="27"/>
      <c r="P471" s="18"/>
    </row>
    <row r="472" spans="2:16" ht="14.25" customHeight="1" x14ac:dyDescent="0.25">
      <c r="B472" s="19"/>
      <c r="C472" s="20" t="s">
        <v>1020</v>
      </c>
      <c r="D472" s="102" t="s">
        <v>1021</v>
      </c>
      <c r="E472" s="102"/>
      <c r="F472" s="102"/>
      <c r="G472" s="102"/>
      <c r="H472" s="102"/>
      <c r="I472" s="102"/>
      <c r="J472" s="102"/>
      <c r="K472" s="102"/>
      <c r="L472" s="102"/>
      <c r="M472" s="102"/>
      <c r="N472" s="102"/>
      <c r="O472" s="102"/>
      <c r="P472" s="102"/>
    </row>
    <row r="473" spans="2:16" x14ac:dyDescent="0.25">
      <c r="B473" s="79"/>
      <c r="C473" s="80" t="s">
        <v>1022</v>
      </c>
      <c r="D473" s="103" t="s">
        <v>1023</v>
      </c>
      <c r="E473" s="103"/>
      <c r="F473" s="103"/>
      <c r="G473" s="103"/>
      <c r="H473" s="103"/>
      <c r="I473" s="103"/>
      <c r="J473" s="103"/>
      <c r="K473" s="103"/>
      <c r="L473" s="103"/>
      <c r="M473" s="103"/>
      <c r="N473" s="103"/>
      <c r="O473" s="103"/>
      <c r="P473" s="103"/>
    </row>
    <row r="474" spans="2:16" x14ac:dyDescent="0.25">
      <c r="B474" s="79"/>
      <c r="C474" s="80" t="s">
        <v>1024</v>
      </c>
      <c r="D474" s="105" t="s">
        <v>1025</v>
      </c>
      <c r="E474" s="105"/>
      <c r="F474" s="105"/>
      <c r="G474" s="105"/>
      <c r="H474" s="105"/>
      <c r="I474" s="105"/>
      <c r="J474" s="105"/>
      <c r="K474" s="105"/>
      <c r="L474" s="105"/>
      <c r="M474" s="105"/>
      <c r="N474" s="105"/>
      <c r="O474" s="105"/>
      <c r="P474" s="105"/>
    </row>
    <row r="475" spans="2:16" x14ac:dyDescent="0.25">
      <c r="B475" s="79"/>
      <c r="C475" s="80" t="s">
        <v>1026</v>
      </c>
      <c r="D475" s="109" t="s">
        <v>1027</v>
      </c>
      <c r="E475" s="109"/>
      <c r="F475" s="109"/>
      <c r="G475" s="109"/>
      <c r="H475" s="109"/>
      <c r="I475" s="109"/>
      <c r="J475" s="109"/>
      <c r="K475" s="109"/>
      <c r="L475" s="109"/>
      <c r="M475" s="109"/>
      <c r="N475" s="109"/>
      <c r="O475" s="109"/>
      <c r="P475" s="109"/>
    </row>
    <row r="476" spans="2:16" ht="45" x14ac:dyDescent="0.25">
      <c r="B476" s="29">
        <v>1</v>
      </c>
      <c r="C476" s="34" t="s">
        <v>1028</v>
      </c>
      <c r="D476" s="35" t="s">
        <v>1029</v>
      </c>
      <c r="E476" s="35" t="s">
        <v>1030</v>
      </c>
      <c r="F476" s="74">
        <v>5.12</v>
      </c>
      <c r="G476" s="75">
        <v>144</v>
      </c>
      <c r="H476" s="82">
        <f>F476 * G476 * 216.485569</f>
        <v>159610.48031232</v>
      </c>
      <c r="I476" s="82">
        <f>F476 * G476 * 0</f>
        <v>0</v>
      </c>
      <c r="J476" s="82">
        <f>F476 * G476 * 0</f>
        <v>0</v>
      </c>
      <c r="K476" s="82">
        <f>F476 * G476 * 206.094262</f>
        <v>151949.17748735999</v>
      </c>
      <c r="L476" s="82">
        <f>F476 * G476 * 44.370882</f>
        <v>32713.763880959999</v>
      </c>
      <c r="M476" s="82">
        <f>F476 * G476 * 43.297114</f>
        <v>31922.096209920001</v>
      </c>
      <c r="N476" s="83">
        <f>SUM(H476:M476)</f>
        <v>376195.51789056003</v>
      </c>
      <c r="O476" s="84">
        <f>N476*1.07*1.09*1.05</f>
        <v>460694.67414154822</v>
      </c>
      <c r="P476" s="78">
        <f t="shared" ref="P476:P477" si="106">IF($P$9&gt;0,O476/$P$9/12,0)</f>
        <v>2.6583037560676512</v>
      </c>
    </row>
    <row r="477" spans="2:16" ht="45" x14ac:dyDescent="0.25">
      <c r="B477" s="29">
        <v>2</v>
      </c>
      <c r="C477" s="34" t="s">
        <v>1031</v>
      </c>
      <c r="D477" s="35" t="s">
        <v>1032</v>
      </c>
      <c r="E477" s="35" t="s">
        <v>1033</v>
      </c>
      <c r="F477" s="74">
        <v>22.15</v>
      </c>
      <c r="G477" s="75">
        <v>144</v>
      </c>
      <c r="H477" s="82">
        <f>F477 * G477 * 189.036004</f>
        <v>602949.23835839995</v>
      </c>
      <c r="I477" s="82">
        <f>F477 * G477 * 0</f>
        <v>0</v>
      </c>
      <c r="J477" s="82">
        <f>F477 * G477 * 0</f>
        <v>0</v>
      </c>
      <c r="K477" s="82">
        <f>F477 * G477 * 179.962276</f>
        <v>574007.6755296</v>
      </c>
      <c r="L477" s="82">
        <f>F477 * G477 * 38.744819</f>
        <v>123580.47468239999</v>
      </c>
      <c r="M477" s="82">
        <f>F477 * G477 * 37.807201</f>
        <v>120589.8483096</v>
      </c>
      <c r="N477" s="83">
        <f>SUM(H477:M477)</f>
        <v>1421127.23688</v>
      </c>
      <c r="O477" s="84">
        <f>N477*1.07*1.09*1.05</f>
        <v>1740333.7311918016</v>
      </c>
      <c r="P477" s="78">
        <f t="shared" si="106"/>
        <v>10.042086340718054</v>
      </c>
    </row>
    <row r="478" spans="2:16" x14ac:dyDescent="0.25">
      <c r="B478" s="79"/>
      <c r="C478" s="80" t="s">
        <v>1034</v>
      </c>
      <c r="D478" s="109" t="s">
        <v>1035</v>
      </c>
      <c r="E478" s="109"/>
      <c r="F478" s="109"/>
      <c r="G478" s="109"/>
      <c r="H478" s="109"/>
      <c r="I478" s="109"/>
      <c r="J478" s="109"/>
      <c r="K478" s="109"/>
      <c r="L478" s="109"/>
      <c r="M478" s="109"/>
      <c r="N478" s="109"/>
      <c r="O478" s="109"/>
      <c r="P478" s="109"/>
    </row>
    <row r="479" spans="2:16" ht="45" x14ac:dyDescent="0.25">
      <c r="B479" s="29">
        <v>3</v>
      </c>
      <c r="C479" s="34" t="s">
        <v>1036</v>
      </c>
      <c r="D479" s="35" t="s">
        <v>1037</v>
      </c>
      <c r="E479" s="35" t="s">
        <v>1030</v>
      </c>
      <c r="F479" s="74">
        <v>5.12</v>
      </c>
      <c r="G479" s="75">
        <v>24</v>
      </c>
      <c r="H479" s="82">
        <f>F479 * G479 * 277.606601</f>
        <v>34112.299130879997</v>
      </c>
      <c r="I479" s="82">
        <f>F479 * G479 * 76.925322</f>
        <v>9452.5835673599995</v>
      </c>
      <c r="J479" s="82">
        <f>F479 * G479 * 0</f>
        <v>0</v>
      </c>
      <c r="K479" s="82">
        <f>F479 * G479 * 264.281485</f>
        <v>32474.908876799997</v>
      </c>
      <c r="L479" s="82">
        <f>F479 * G479 * 64.975408</f>
        <v>7984.1781350399997</v>
      </c>
      <c r="M479" s="82">
        <f>F479 * G479 * 55.52132</f>
        <v>6822.4598016</v>
      </c>
      <c r="N479" s="83">
        <f>SUM(H479:M479)</f>
        <v>90846.429511679991</v>
      </c>
      <c r="O479" s="84">
        <f>N479*1.07*1.09*1.05</f>
        <v>111251.900276446</v>
      </c>
      <c r="P479" s="78">
        <f t="shared" ref="P479:P480" si="107">IF($P$9&gt;0,O479/$P$9/12,0)</f>
        <v>0.64194652331421087</v>
      </c>
    </row>
    <row r="480" spans="2:16" ht="45" x14ac:dyDescent="0.25">
      <c r="B480" s="29">
        <v>4</v>
      </c>
      <c r="C480" s="34" t="s">
        <v>1038</v>
      </c>
      <c r="D480" s="35" t="s">
        <v>1039</v>
      </c>
      <c r="E480" s="35" t="s">
        <v>1030</v>
      </c>
      <c r="F480" s="74">
        <v>22.15</v>
      </c>
      <c r="G480" s="75">
        <v>24</v>
      </c>
      <c r="H480" s="82">
        <f>F480 * G480 * 237.89623</f>
        <v>126465.63586799998</v>
      </c>
      <c r="I480" s="82">
        <f>F480 * G480 * 76.925322</f>
        <v>40893.501175199992</v>
      </c>
      <c r="J480" s="82">
        <f>F480 * G480 * 0</f>
        <v>0</v>
      </c>
      <c r="K480" s="82">
        <f>F480 * G480 * 226.477211</f>
        <v>120395.28536759998</v>
      </c>
      <c r="L480" s="82">
        <f>F480 * G480 * 56.83637</f>
        <v>30214.214291999997</v>
      </c>
      <c r="M480" s="82">
        <f>F480 * G480 * 47.579246</f>
        <v>25293.127173599994</v>
      </c>
      <c r="N480" s="83">
        <f>SUM(H480:M480)</f>
        <v>343261.76387639996</v>
      </c>
      <c r="O480" s="84">
        <f>N480*1.07*1.09*1.05</f>
        <v>420363.50496949762</v>
      </c>
      <c r="P480" s="78">
        <f t="shared" si="107"/>
        <v>2.4255845506710614</v>
      </c>
    </row>
    <row r="481" spans="2:16" x14ac:dyDescent="0.25">
      <c r="B481" s="79"/>
      <c r="C481" s="80" t="s">
        <v>1040</v>
      </c>
      <c r="D481" s="103" t="s">
        <v>1041</v>
      </c>
      <c r="E481" s="103"/>
      <c r="F481" s="103"/>
      <c r="G481" s="103"/>
      <c r="H481" s="103"/>
      <c r="I481" s="103"/>
      <c r="J481" s="103"/>
      <c r="K481" s="103"/>
      <c r="L481" s="103"/>
      <c r="M481" s="103"/>
      <c r="N481" s="103"/>
      <c r="O481" s="103"/>
      <c r="P481" s="103"/>
    </row>
    <row r="482" spans="2:16" ht="30" x14ac:dyDescent="0.25">
      <c r="B482" s="29">
        <v>5</v>
      </c>
      <c r="C482" s="34" t="s">
        <v>1042</v>
      </c>
      <c r="D482" s="35" t="s">
        <v>1043</v>
      </c>
      <c r="E482" s="35" t="s">
        <v>36</v>
      </c>
      <c r="F482" s="74">
        <v>0.16</v>
      </c>
      <c r="G482" s="75">
        <v>1</v>
      </c>
      <c r="H482" s="82">
        <f>F482 * G482 * 164.69739</f>
        <v>26.351582400000002</v>
      </c>
      <c r="I482" s="82">
        <f>F482 * G482 * 9.87897</f>
        <v>1.5806352000000001</v>
      </c>
      <c r="J482" s="82">
        <f>F482 * G482 * 0</f>
        <v>0</v>
      </c>
      <c r="K482" s="82">
        <f>F482 * G482 * 156.791916</f>
        <v>25.08670656</v>
      </c>
      <c r="L482" s="82">
        <f>F482 * G482 * 34.793669</f>
        <v>5.5669870399999999</v>
      </c>
      <c r="M482" s="82">
        <f>F482 * G482 * 32.939478</f>
        <v>5.27031648</v>
      </c>
      <c r="N482" s="83">
        <f>SUM(H482:M482)</f>
        <v>63.856227679999996</v>
      </c>
      <c r="O482" s="84">
        <f>N482*1.07*1.09*1.05</f>
        <v>78.199294260343208</v>
      </c>
      <c r="P482" s="78">
        <f t="shared" ref="P482:P483" si="108">IF($P$9&gt;0,O482/$P$9/12,0)</f>
        <v>4.5122613592498274E-4</v>
      </c>
    </row>
    <row r="483" spans="2:16" ht="30" x14ac:dyDescent="0.25">
      <c r="B483" s="29">
        <v>6</v>
      </c>
      <c r="C483" s="34" t="s">
        <v>1044</v>
      </c>
      <c r="D483" s="35" t="s">
        <v>1045</v>
      </c>
      <c r="E483" s="35" t="s">
        <v>1046</v>
      </c>
      <c r="F483" s="74">
        <v>0.13500000000000001</v>
      </c>
      <c r="G483" s="75">
        <v>2</v>
      </c>
      <c r="H483" s="82">
        <f>F483 * G483 * 414.854426</f>
        <v>112.01069502</v>
      </c>
      <c r="I483" s="82">
        <f>F483 * G483 * 48.04673</f>
        <v>12.972617100000001</v>
      </c>
      <c r="J483" s="82">
        <f>F483 * G483 * 0</f>
        <v>0</v>
      </c>
      <c r="K483" s="82">
        <f>F483 * G483 * 394.941414</f>
        <v>106.63418178000001</v>
      </c>
      <c r="L483" s="82">
        <f>F483 * G483 * 90.07347</f>
        <v>24.319836900000002</v>
      </c>
      <c r="M483" s="82">
        <f>F483 * G483 * 82.970885</f>
        <v>22.402138950000001</v>
      </c>
      <c r="N483" s="83">
        <f>SUM(H483:M483)</f>
        <v>278.33946975000003</v>
      </c>
      <c r="O483" s="84">
        <f>N483*1.07*1.09*1.05</f>
        <v>340.85868974789634</v>
      </c>
      <c r="P483" s="78">
        <f t="shared" si="108"/>
        <v>1.9668252882097145E-3</v>
      </c>
    </row>
    <row r="484" spans="2:16" x14ac:dyDescent="0.25">
      <c r="B484" s="79"/>
      <c r="C484" s="80" t="s">
        <v>1047</v>
      </c>
      <c r="D484" s="103" t="s">
        <v>1048</v>
      </c>
      <c r="E484" s="103"/>
      <c r="F484" s="103"/>
      <c r="G484" s="103"/>
      <c r="H484" s="103"/>
      <c r="I484" s="103"/>
      <c r="J484" s="103"/>
      <c r="K484" s="103"/>
      <c r="L484" s="103"/>
      <c r="M484" s="103"/>
      <c r="N484" s="103"/>
      <c r="O484" s="103"/>
      <c r="P484" s="103"/>
    </row>
    <row r="485" spans="2:16" ht="30" x14ac:dyDescent="0.25">
      <c r="B485" s="29">
        <v>7</v>
      </c>
      <c r="C485" s="34" t="s">
        <v>1049</v>
      </c>
      <c r="D485" s="35" t="s">
        <v>1050</v>
      </c>
      <c r="E485" s="35" t="s">
        <v>1051</v>
      </c>
      <c r="F485" s="74">
        <v>0.441</v>
      </c>
      <c r="G485" s="75">
        <v>1</v>
      </c>
      <c r="H485" s="82">
        <f>F485 * G485 * 417.782379</f>
        <v>184.24202913900001</v>
      </c>
      <c r="I485" s="82">
        <f>F485 * G485 * 70.02635</f>
        <v>30.881620349999999</v>
      </c>
      <c r="J485" s="82">
        <f>F485 * G485 * 0</f>
        <v>0</v>
      </c>
      <c r="K485" s="82">
        <f>F485 * G485 * 397.728824</f>
        <v>175.39841138399998</v>
      </c>
      <c r="L485" s="82">
        <f>F485 * G485 * 92.981443</f>
        <v>41.004816362999996</v>
      </c>
      <c r="M485" s="82">
        <f>F485 * G485 * 83.556476</f>
        <v>36.848405916000004</v>
      </c>
      <c r="N485" s="83">
        <f>SUM(H485:M485)</f>
        <v>468.37528315199995</v>
      </c>
      <c r="O485" s="84">
        <f>N485*1.07*1.09*1.05</f>
        <v>573.57939737718652</v>
      </c>
      <c r="P485" s="78">
        <f t="shared" ref="P485:P486" si="109">IF($P$9&gt;0,O485/$P$9/12,0)</f>
        <v>3.3096720062848321E-3</v>
      </c>
    </row>
    <row r="486" spans="2:16" ht="30" x14ac:dyDescent="0.25">
      <c r="B486" s="29">
        <v>8</v>
      </c>
      <c r="C486" s="34" t="s">
        <v>1052</v>
      </c>
      <c r="D486" s="35" t="s">
        <v>1053</v>
      </c>
      <c r="E486" s="35" t="s">
        <v>1054</v>
      </c>
      <c r="F486" s="74">
        <v>0.96</v>
      </c>
      <c r="G486" s="75">
        <v>2</v>
      </c>
      <c r="H486" s="82">
        <f>F486 * G486 * 613.040285</f>
        <v>1177.0373472000001</v>
      </c>
      <c r="I486" s="82">
        <f>F486 * G486 * 186.070624</f>
        <v>357.25559808000003</v>
      </c>
      <c r="J486" s="82">
        <f>F486 * G486 * 0</f>
        <v>0</v>
      </c>
      <c r="K486" s="82">
        <f>F486 * G486 * 583.614351</f>
        <v>1120.5395539200001</v>
      </c>
      <c r="L486" s="82">
        <f>F486 * G486 * 145.186152</f>
        <v>278.75741183999997</v>
      </c>
      <c r="M486" s="82">
        <f>F486 * G486 * 122.608057</f>
        <v>235.40746944</v>
      </c>
      <c r="N486" s="83">
        <f>SUM(H486:M486)</f>
        <v>3168.9973804800002</v>
      </c>
      <c r="O486" s="84">
        <f>N486*1.07*1.09*1.05</f>
        <v>3880.8017270965165</v>
      </c>
      <c r="P486" s="78">
        <f t="shared" si="109"/>
        <v>2.23930303229961E-2</v>
      </c>
    </row>
    <row r="487" spans="2:16" x14ac:dyDescent="0.25">
      <c r="B487" s="79"/>
      <c r="C487" s="80" t="s">
        <v>1055</v>
      </c>
      <c r="D487" s="103" t="s">
        <v>1056</v>
      </c>
      <c r="E487" s="103"/>
      <c r="F487" s="103"/>
      <c r="G487" s="103"/>
      <c r="H487" s="103"/>
      <c r="I487" s="103"/>
      <c r="J487" s="103"/>
      <c r="K487" s="103"/>
      <c r="L487" s="103"/>
      <c r="M487" s="103"/>
      <c r="N487" s="103"/>
      <c r="O487" s="103"/>
      <c r="P487" s="103"/>
    </row>
    <row r="488" spans="2:16" ht="30" x14ac:dyDescent="0.25">
      <c r="B488" s="29">
        <v>9</v>
      </c>
      <c r="C488" s="34" t="s">
        <v>1057</v>
      </c>
      <c r="D488" s="35" t="s">
        <v>1058</v>
      </c>
      <c r="E488" s="35" t="s">
        <v>1059</v>
      </c>
      <c r="F488" s="74">
        <v>0.25900000000000001</v>
      </c>
      <c r="G488" s="75">
        <v>2</v>
      </c>
      <c r="H488" s="82">
        <f>F488 * G488 * 195.257906</f>
        <v>101.143595308</v>
      </c>
      <c r="I488" s="82">
        <f>F488 * G488 * 58.58163</f>
        <v>30.345284339999999</v>
      </c>
      <c r="J488" s="82">
        <f>F488 * G488 * 0</f>
        <v>0</v>
      </c>
      <c r="K488" s="82">
        <f>F488 * G488 * 185.885527</f>
        <v>96.288702986000004</v>
      </c>
      <c r="L488" s="82">
        <f>F488 * G488 * 46.171131</f>
        <v>23.916645858000003</v>
      </c>
      <c r="M488" s="82">
        <f>F488 * G488 * 39.051581</f>
        <v>20.228718958000002</v>
      </c>
      <c r="N488" s="83">
        <f>SUM(H488:M488)</f>
        <v>271.92294745000004</v>
      </c>
      <c r="O488" s="84">
        <f>N488*1.07*1.09*1.05</f>
        <v>333.0009202914818</v>
      </c>
      <c r="P488" s="78">
        <f t="shared" ref="P488:P489" si="110">IF($P$9&gt;0,O488/$P$9/12,0)</f>
        <v>1.9214843297989765E-3</v>
      </c>
    </row>
    <row r="489" spans="2:16" x14ac:dyDescent="0.25">
      <c r="B489" s="29">
        <v>10</v>
      </c>
      <c r="C489" s="34" t="s">
        <v>1060</v>
      </c>
      <c r="D489" s="35" t="s">
        <v>1061</v>
      </c>
      <c r="E489" s="35" t="s">
        <v>1062</v>
      </c>
      <c r="F489" s="74">
        <v>27.27</v>
      </c>
      <c r="G489" s="75">
        <v>1</v>
      </c>
      <c r="H489" s="82">
        <f>F489 * G489 * 192.146955</f>
        <v>5239.8474628499998</v>
      </c>
      <c r="I489" s="82">
        <f>F489 * G489 * 9.252198</f>
        <v>252.30743945999998</v>
      </c>
      <c r="J489" s="82">
        <f>F489 * G489 * 0</f>
        <v>0</v>
      </c>
      <c r="K489" s="82">
        <f>F489 * G489 * 182.923901</f>
        <v>4988.33478027</v>
      </c>
      <c r="L489" s="82">
        <f>F489 * G489 * 40.35392</f>
        <v>1100.4513984</v>
      </c>
      <c r="M489" s="82">
        <f>F489 * G489 * 38.429391</f>
        <v>1047.9694925700001</v>
      </c>
      <c r="N489" s="83">
        <f>SUM(H489:M489)</f>
        <v>12628.91057355</v>
      </c>
      <c r="O489" s="84">
        <f>N489*1.07*1.09*1.05</f>
        <v>15465.553322027936</v>
      </c>
      <c r="P489" s="78">
        <f t="shared" si="110"/>
        <v>8.9239448149078707E-2</v>
      </c>
    </row>
    <row r="490" spans="2:16" ht="14.25" customHeight="1" x14ac:dyDescent="0.25">
      <c r="B490" s="106" t="s">
        <v>387</v>
      </c>
      <c r="C490" s="106"/>
      <c r="D490" s="106"/>
      <c r="E490" s="106"/>
      <c r="F490" s="106"/>
      <c r="G490" s="106"/>
      <c r="H490" s="28">
        <f t="shared" ref="H490:O490" si="111">SUM(H472:H489)</f>
        <v>929978.28638151695</v>
      </c>
      <c r="I490" s="28">
        <f t="shared" si="111"/>
        <v>51031.427937089997</v>
      </c>
      <c r="J490" s="28">
        <f t="shared" si="111"/>
        <v>0</v>
      </c>
      <c r="K490" s="28">
        <f t="shared" si="111"/>
        <v>885339.32959825988</v>
      </c>
      <c r="L490" s="28">
        <f t="shared" si="111"/>
        <v>195966.64808680097</v>
      </c>
      <c r="M490" s="28">
        <f t="shared" si="111"/>
        <v>185995.65803703401</v>
      </c>
      <c r="N490" s="28">
        <f t="shared" si="111"/>
        <v>2248311.3500407021</v>
      </c>
      <c r="O490" s="28">
        <f t="shared" si="111"/>
        <v>2753315.8039300945</v>
      </c>
      <c r="P490" s="23">
        <f>SUM(P472:P489)</f>
        <v>15.88720285700327</v>
      </c>
    </row>
    <row r="491" spans="2:16" x14ac:dyDescent="0.25">
      <c r="B491" s="99" t="s">
        <v>1063</v>
      </c>
      <c r="C491" s="99"/>
      <c r="D491" s="99"/>
      <c r="E491" s="99"/>
      <c r="F491" s="99"/>
      <c r="G491" s="99"/>
      <c r="H491" s="99"/>
      <c r="I491" s="99"/>
      <c r="J491" s="99"/>
      <c r="K491" s="99"/>
      <c r="L491" s="99"/>
      <c r="M491" s="107"/>
      <c r="N491" s="107"/>
      <c r="O491" s="26"/>
      <c r="P491" s="25"/>
    </row>
    <row r="492" spans="2:16" x14ac:dyDescent="0.25">
      <c r="B492" s="99"/>
      <c r="C492" s="99"/>
      <c r="D492" s="99"/>
      <c r="E492" s="99"/>
      <c r="F492" s="99"/>
      <c r="G492" s="99"/>
      <c r="H492" s="99"/>
      <c r="I492" s="99"/>
      <c r="J492" s="99"/>
      <c r="K492" s="99"/>
      <c r="L492" s="99"/>
      <c r="M492" s="108"/>
      <c r="N492" s="108"/>
      <c r="O492" s="27"/>
      <c r="P492" s="18"/>
    </row>
    <row r="493" spans="2:16" ht="14.25" customHeight="1" x14ac:dyDescent="0.25">
      <c r="B493" s="19"/>
      <c r="C493" s="20" t="s">
        <v>365</v>
      </c>
      <c r="D493" s="102" t="s">
        <v>366</v>
      </c>
      <c r="E493" s="102"/>
      <c r="F493" s="102"/>
      <c r="G493" s="102"/>
      <c r="H493" s="102"/>
      <c r="I493" s="102"/>
      <c r="J493" s="102"/>
      <c r="K493" s="102"/>
      <c r="L493" s="102"/>
      <c r="M493" s="102"/>
      <c r="N493" s="102"/>
      <c r="O493" s="102"/>
      <c r="P493" s="102"/>
    </row>
    <row r="494" spans="2:16" x14ac:dyDescent="0.25">
      <c r="B494" s="79"/>
      <c r="C494" s="80" t="s">
        <v>1064</v>
      </c>
      <c r="D494" s="103" t="s">
        <v>1065</v>
      </c>
      <c r="E494" s="103"/>
      <c r="F494" s="103"/>
      <c r="G494" s="103"/>
      <c r="H494" s="103"/>
      <c r="I494" s="103"/>
      <c r="J494" s="103"/>
      <c r="K494" s="103"/>
      <c r="L494" s="103"/>
      <c r="M494" s="103"/>
      <c r="N494" s="103"/>
      <c r="O494" s="103"/>
      <c r="P494" s="103"/>
    </row>
    <row r="495" spans="2:16" ht="30" x14ac:dyDescent="0.25">
      <c r="B495" s="29">
        <v>1</v>
      </c>
      <c r="C495" s="34" t="s">
        <v>1066</v>
      </c>
      <c r="D495" s="35" t="s">
        <v>1067</v>
      </c>
      <c r="E495" s="35" t="s">
        <v>1068</v>
      </c>
      <c r="F495" s="74">
        <v>2.91</v>
      </c>
      <c r="G495" s="75">
        <v>72</v>
      </c>
      <c r="H495" s="82">
        <f>F495 * G495 * 226.678018</f>
        <v>47493.578331360004</v>
      </c>
      <c r="I495" s="82">
        <f>F495 * G495 * 1.65976</f>
        <v>347.75291520000002</v>
      </c>
      <c r="J495" s="82">
        <f>F495 * G495 * 0</f>
        <v>0</v>
      </c>
      <c r="K495" s="82">
        <f>F495 * G495 * 215.797473</f>
        <v>45213.886542960005</v>
      </c>
      <c r="L495" s="82">
        <f>F495 * G495 * 46.634201</f>
        <v>9770.7977935199997</v>
      </c>
      <c r="M495" s="82">
        <f>F495 * G495 * 45.335604</f>
        <v>9498.7157500800004</v>
      </c>
      <c r="N495" s="83">
        <f>SUM(H495:M495)</f>
        <v>112324.73133312001</v>
      </c>
      <c r="O495" s="84">
        <f>N495*1.07*1.09*1.05</f>
        <v>137554.55086150879</v>
      </c>
      <c r="P495" s="78">
        <f>IF($P$9&gt;0,O495/$P$9/12,0)</f>
        <v>0.79371826883112206</v>
      </c>
    </row>
    <row r="496" spans="2:16" x14ac:dyDescent="0.25">
      <c r="B496" s="79"/>
      <c r="C496" s="80" t="s">
        <v>1069</v>
      </c>
      <c r="D496" s="103" t="s">
        <v>1070</v>
      </c>
      <c r="E496" s="103"/>
      <c r="F496" s="103"/>
      <c r="G496" s="103"/>
      <c r="H496" s="103"/>
      <c r="I496" s="103"/>
      <c r="J496" s="103"/>
      <c r="K496" s="103"/>
      <c r="L496" s="103"/>
      <c r="M496" s="103"/>
      <c r="N496" s="103"/>
      <c r="O496" s="103"/>
      <c r="P496" s="103"/>
    </row>
    <row r="497" spans="2:16" x14ac:dyDescent="0.25">
      <c r="B497" s="79"/>
      <c r="C497" s="80" t="s">
        <v>1071</v>
      </c>
      <c r="D497" s="105" t="s">
        <v>1072</v>
      </c>
      <c r="E497" s="105"/>
      <c r="F497" s="105"/>
      <c r="G497" s="105"/>
      <c r="H497" s="105"/>
      <c r="I497" s="105"/>
      <c r="J497" s="105"/>
      <c r="K497" s="105"/>
      <c r="L497" s="105"/>
      <c r="M497" s="105"/>
      <c r="N497" s="105"/>
      <c r="O497" s="105"/>
      <c r="P497" s="105"/>
    </row>
    <row r="498" spans="2:16" ht="30" x14ac:dyDescent="0.25">
      <c r="B498" s="29">
        <v>2</v>
      </c>
      <c r="C498" s="34" t="s">
        <v>1073</v>
      </c>
      <c r="D498" s="35" t="s">
        <v>1074</v>
      </c>
      <c r="E498" s="35" t="s">
        <v>1075</v>
      </c>
      <c r="F498" s="74">
        <v>7.8E-2</v>
      </c>
      <c r="G498" s="75">
        <v>14</v>
      </c>
      <c r="H498" s="82">
        <f>F498 * G498 * 198840.934782</f>
        <v>217134.30078194401</v>
      </c>
      <c r="I498" s="82">
        <f>F498 * G498 * 1427.858195</f>
        <v>1559.2211489400001</v>
      </c>
      <c r="J498" s="82">
        <f>F498 * G498 * 0</f>
        <v>0</v>
      </c>
      <c r="K498" s="82">
        <f>F498 * G498 * 189296.569912</f>
        <v>206711.85434390404</v>
      </c>
      <c r="L498" s="82">
        <f>F498 * G498 * 40904.363103</f>
        <v>44667.564508476004</v>
      </c>
      <c r="M498" s="82">
        <f>F498 * G498 * 39768.186956</f>
        <v>43426.860155952003</v>
      </c>
      <c r="N498" s="83">
        <f>SUM(H498:M498)</f>
        <v>513499.80093921605</v>
      </c>
      <c r="O498" s="84">
        <f>N498*1.07*1.09*1.05</f>
        <v>628839.55872717814</v>
      </c>
      <c r="P498" s="78">
        <f t="shared" ref="P498:P500" si="112">IF($P$9&gt;0,O498/$P$9/12,0)</f>
        <v>3.6285345908183202</v>
      </c>
    </row>
    <row r="499" spans="2:16" x14ac:dyDescent="0.25">
      <c r="B499" s="29">
        <v>3</v>
      </c>
      <c r="C499" s="34" t="s">
        <v>1076</v>
      </c>
      <c r="D499" s="35" t="s">
        <v>1077</v>
      </c>
      <c r="E499" s="35" t="s">
        <v>1078</v>
      </c>
      <c r="F499" s="74">
        <v>7.8E-2</v>
      </c>
      <c r="G499" s="75">
        <v>4</v>
      </c>
      <c r="H499" s="82">
        <f>F499 * G499 * 17043.46</f>
        <v>5317.5595199999998</v>
      </c>
      <c r="I499" s="82">
        <f>F499 * G499 * 0</f>
        <v>0</v>
      </c>
      <c r="J499" s="82">
        <f>F499 * G499 * 0</f>
        <v>0</v>
      </c>
      <c r="K499" s="82">
        <f>F499 * G499 * 16225.37392</f>
        <v>5062.3166630400001</v>
      </c>
      <c r="L499" s="82">
        <f>F499 * G499 * 3493.227562</f>
        <v>1089.8869993440001</v>
      </c>
      <c r="M499" s="82">
        <f>F499 * G499 * 3408.692</f>
        <v>1063.511904</v>
      </c>
      <c r="N499" s="83">
        <f>SUM(H499:M499)</f>
        <v>12533.275086384001</v>
      </c>
      <c r="O499" s="84">
        <f>N499*1.07*1.09*1.05</f>
        <v>15348.436669912147</v>
      </c>
      <c r="P499" s="78">
        <f t="shared" si="112"/>
        <v>8.856366079208873E-2</v>
      </c>
    </row>
    <row r="500" spans="2:16" x14ac:dyDescent="0.25">
      <c r="B500" s="29">
        <v>4</v>
      </c>
      <c r="C500" s="34" t="s">
        <v>1079</v>
      </c>
      <c r="D500" s="35" t="s">
        <v>1080</v>
      </c>
      <c r="E500" s="35" t="s">
        <v>1081</v>
      </c>
      <c r="F500" s="74">
        <v>78.33</v>
      </c>
      <c r="G500" s="75">
        <v>4</v>
      </c>
      <c r="H500" s="82">
        <f>F500 * G500 * 179.337158</f>
        <v>56189.918344559992</v>
      </c>
      <c r="I500" s="82">
        <f>F500 * G500 * 39.834236</f>
        <v>12480.862823519999</v>
      </c>
      <c r="J500" s="82">
        <f>F500 * G500 * 60.102</f>
        <v>18831.158639999998</v>
      </c>
      <c r="K500" s="82">
        <f>F500 * G500 * 170.728975</f>
        <v>53492.802446999995</v>
      </c>
      <c r="L500" s="82">
        <f>F500 * G500 * 47.250249</f>
        <v>14804.448016679999</v>
      </c>
      <c r="M500" s="82">
        <f>F500 * G500 * 35.867432</f>
        <v>11237.983794240001</v>
      </c>
      <c r="N500" s="83">
        <f>SUM(H500:M500)</f>
        <v>167037.17406599995</v>
      </c>
      <c r="O500" s="84">
        <f>N500*1.07*1.09*1.05</f>
        <v>204556.22891883459</v>
      </c>
      <c r="P500" s="78">
        <f t="shared" si="112"/>
        <v>1.1803318383813102</v>
      </c>
    </row>
    <row r="501" spans="2:16" x14ac:dyDescent="0.25">
      <c r="B501" s="79"/>
      <c r="C501" s="80" t="s">
        <v>1082</v>
      </c>
      <c r="D501" s="105" t="s">
        <v>1083</v>
      </c>
      <c r="E501" s="105"/>
      <c r="F501" s="105"/>
      <c r="G501" s="105"/>
      <c r="H501" s="105"/>
      <c r="I501" s="105"/>
      <c r="J501" s="105"/>
      <c r="K501" s="105"/>
      <c r="L501" s="105"/>
      <c r="M501" s="105"/>
      <c r="N501" s="105"/>
      <c r="O501" s="105"/>
      <c r="P501" s="105"/>
    </row>
    <row r="502" spans="2:16" x14ac:dyDescent="0.25">
      <c r="B502" s="29">
        <v>5</v>
      </c>
      <c r="C502" s="34" t="s">
        <v>1084</v>
      </c>
      <c r="D502" s="35" t="s">
        <v>1085</v>
      </c>
      <c r="E502" s="35" t="s">
        <v>1086</v>
      </c>
      <c r="F502" s="74">
        <v>0.03</v>
      </c>
      <c r="G502" s="75">
        <v>96</v>
      </c>
      <c r="H502" s="82">
        <f>F502 * G502 * 410.747386</f>
        <v>1182.9524716799999</v>
      </c>
      <c r="I502" s="82">
        <f>F502 * G502 * 663.903936</f>
        <v>1912.0433356800002</v>
      </c>
      <c r="J502" s="82">
        <f>F502 * G502 * 0</f>
        <v>0</v>
      </c>
      <c r="K502" s="82">
        <f>F502 * G502 * 391.031512</f>
        <v>1126.17075456</v>
      </c>
      <c r="L502" s="82">
        <f>F502 * G502 * 153.896697</f>
        <v>443.22248735999995</v>
      </c>
      <c r="M502" s="82">
        <f>F502 * G502 * 82.149477</f>
        <v>236.59049376000002</v>
      </c>
      <c r="N502" s="83">
        <f>SUM(H502:M502)</f>
        <v>4900.97954304</v>
      </c>
      <c r="O502" s="84">
        <f>N502*1.07*1.09*1.05</f>
        <v>6001.8130630999294</v>
      </c>
      <c r="P502" s="78">
        <f>IF($P$9&gt;0,O502/$P$9/12,0)</f>
        <v>3.463170534494258E-2</v>
      </c>
    </row>
    <row r="503" spans="2:16" x14ac:dyDescent="0.25">
      <c r="B503" s="79"/>
      <c r="C503" s="80" t="s">
        <v>1087</v>
      </c>
      <c r="D503" s="103" t="s">
        <v>1088</v>
      </c>
      <c r="E503" s="103"/>
      <c r="F503" s="103"/>
      <c r="G503" s="103"/>
      <c r="H503" s="103"/>
      <c r="I503" s="103"/>
      <c r="J503" s="103"/>
      <c r="K503" s="103"/>
      <c r="L503" s="103"/>
      <c r="M503" s="103"/>
      <c r="N503" s="103"/>
      <c r="O503" s="103"/>
      <c r="P503" s="103"/>
    </row>
    <row r="504" spans="2:16" ht="45" x14ac:dyDescent="0.25">
      <c r="B504" s="29">
        <v>6</v>
      </c>
      <c r="C504" s="34" t="s">
        <v>1089</v>
      </c>
      <c r="D504" s="35" t="s">
        <v>1090</v>
      </c>
      <c r="E504" s="35" t="s">
        <v>1091</v>
      </c>
      <c r="F504" s="74">
        <v>0.28999999999999998</v>
      </c>
      <c r="G504" s="75">
        <v>30</v>
      </c>
      <c r="H504" s="82">
        <f>F504 * G504 * 17328.085782</f>
        <v>150754.34630339997</v>
      </c>
      <c r="I504" s="82">
        <f>F504 * G504 * 0</f>
        <v>0</v>
      </c>
      <c r="J504" s="82">
        <f>F504 * G504 * 0</f>
        <v>0</v>
      </c>
      <c r="K504" s="82">
        <f>F504 * G504 * 16496.337664</f>
        <v>143518.13767679999</v>
      </c>
      <c r="L504" s="82">
        <f>F504 * G504 * 3551.564462</f>
        <v>30898.610819399997</v>
      </c>
      <c r="M504" s="82">
        <f>F504 * G504 * 3465.617156</f>
        <v>30150.869257199996</v>
      </c>
      <c r="N504" s="83">
        <f>SUM(H504:M504)</f>
        <v>355321.96405679994</v>
      </c>
      <c r="O504" s="84">
        <f>N504*1.07*1.09*1.05</f>
        <v>435132.60701341811</v>
      </c>
      <c r="P504" s="78">
        <f>IF($P$9&gt;0,O504/$P$9/12,0)</f>
        <v>2.5108053305948972</v>
      </c>
    </row>
    <row r="505" spans="2:16" x14ac:dyDescent="0.25">
      <c r="B505" s="79"/>
      <c r="C505" s="80" t="s">
        <v>1092</v>
      </c>
      <c r="D505" s="103" t="s">
        <v>1093</v>
      </c>
      <c r="E505" s="103"/>
      <c r="F505" s="103"/>
      <c r="G505" s="103"/>
      <c r="H505" s="103"/>
      <c r="I505" s="103"/>
      <c r="J505" s="103"/>
      <c r="K505" s="103"/>
      <c r="L505" s="103"/>
      <c r="M505" s="103"/>
      <c r="N505" s="103"/>
      <c r="O505" s="103"/>
      <c r="P505" s="103"/>
    </row>
    <row r="506" spans="2:16" x14ac:dyDescent="0.25">
      <c r="B506" s="29">
        <v>7</v>
      </c>
      <c r="C506" s="34" t="s">
        <v>1094</v>
      </c>
      <c r="D506" s="35" t="s">
        <v>1095</v>
      </c>
      <c r="E506" s="35" t="s">
        <v>119</v>
      </c>
      <c r="F506" s="74">
        <v>29.09</v>
      </c>
      <c r="G506" s="75">
        <v>30</v>
      </c>
      <c r="H506" s="82">
        <f>F506 * G506 * 36.813874</f>
        <v>32127.4678398</v>
      </c>
      <c r="I506" s="82">
        <f>F506 * G506 * 79.313674</f>
        <v>69217.043299800003</v>
      </c>
      <c r="J506" s="82">
        <f>F506 * G506 * 0</f>
        <v>0</v>
      </c>
      <c r="K506" s="82">
        <f>F506 * G506 * 35.046808</f>
        <v>30585.349341600002</v>
      </c>
      <c r="L506" s="82">
        <f>F506 * G506 * 15.873308</f>
        <v>13852.635891600001</v>
      </c>
      <c r="M506" s="82">
        <f>F506 * G506 * 7.362775</f>
        <v>6425.4937425000007</v>
      </c>
      <c r="N506" s="83">
        <f>SUM(H506:M506)</f>
        <v>152207.9901153</v>
      </c>
      <c r="O506" s="84">
        <f>N506*1.07*1.09*1.05</f>
        <v>186396.18781504812</v>
      </c>
      <c r="P506" s="78">
        <f t="shared" ref="P506:P509" si="113">IF($P$9&gt;0,O506/$P$9/12,0)</f>
        <v>1.0755446372561979</v>
      </c>
    </row>
    <row r="507" spans="2:16" ht="30" x14ac:dyDescent="0.25">
      <c r="B507" s="29">
        <v>293</v>
      </c>
      <c r="C507" s="34"/>
      <c r="D507" s="35" t="s">
        <v>1096</v>
      </c>
      <c r="E507" s="35" t="s">
        <v>1097</v>
      </c>
      <c r="F507" s="36">
        <f>2908.6*0.2</f>
        <v>581.72</v>
      </c>
      <c r="G507" s="85">
        <v>3</v>
      </c>
      <c r="H507" s="38">
        <f>F507 * G507 * 0</f>
        <v>0</v>
      </c>
      <c r="I507" s="38">
        <f>F507 * G507 * 0</f>
        <v>0</v>
      </c>
      <c r="J507" s="38"/>
      <c r="K507" s="38"/>
      <c r="L507" s="38"/>
      <c r="M507" s="38"/>
      <c r="N507" s="39">
        <f>F507*125*G507</f>
        <v>218145</v>
      </c>
      <c r="O507" s="40">
        <f>N507*1.07*1.09*1.05</f>
        <v>267143.63917500002</v>
      </c>
      <c r="P507" s="78">
        <f t="shared" si="113"/>
        <v>1.5414741677918571</v>
      </c>
    </row>
    <row r="508" spans="2:16" x14ac:dyDescent="0.25">
      <c r="B508" s="29">
        <v>294</v>
      </c>
      <c r="C508" s="34"/>
      <c r="D508" s="86" t="s">
        <v>1098</v>
      </c>
      <c r="E508" s="86" t="s">
        <v>146</v>
      </c>
      <c r="F508" s="87">
        <v>2908.6</v>
      </c>
      <c r="G508" s="88">
        <v>3</v>
      </c>
      <c r="H508" s="89"/>
      <c r="I508" s="89"/>
      <c r="J508" s="89"/>
      <c r="K508" s="89"/>
      <c r="L508" s="89"/>
      <c r="M508" s="89"/>
      <c r="N508" s="90">
        <f>F508*0.2*G508*275</f>
        <v>479919</v>
      </c>
      <c r="O508" s="91">
        <f>N508*1.07*1.09*1.05</f>
        <v>587716.00618500006</v>
      </c>
      <c r="P508" s="78">
        <f t="shared" si="113"/>
        <v>3.3912431691420859</v>
      </c>
    </row>
    <row r="509" spans="2:16" x14ac:dyDescent="0.25">
      <c r="B509" s="29">
        <v>295</v>
      </c>
      <c r="C509" s="34"/>
      <c r="D509" s="86" t="s">
        <v>1099</v>
      </c>
      <c r="E509" s="35" t="s">
        <v>1097</v>
      </c>
      <c r="F509" s="36">
        <f>2908.6*0.2</f>
        <v>581.72</v>
      </c>
      <c r="G509" s="88">
        <v>3</v>
      </c>
      <c r="H509" s="89"/>
      <c r="I509" s="89"/>
      <c r="J509" s="89"/>
      <c r="K509" s="89"/>
      <c r="L509" s="89"/>
      <c r="M509" s="89"/>
      <c r="N509" s="39">
        <f>F509*200*G509</f>
        <v>349032</v>
      </c>
      <c r="O509" s="40">
        <f>N509*1.07*1.09*1.05</f>
        <v>427429.8226800001</v>
      </c>
      <c r="P509" s="78">
        <f t="shared" si="113"/>
        <v>2.466358668466972</v>
      </c>
    </row>
    <row r="510" spans="2:16" ht="14.1" customHeight="1" x14ac:dyDescent="0.25">
      <c r="B510" s="106" t="s">
        <v>387</v>
      </c>
      <c r="C510" s="106"/>
      <c r="D510" s="106"/>
      <c r="E510" s="106"/>
      <c r="F510" s="106"/>
      <c r="G510" s="106"/>
      <c r="H510" s="28">
        <f t="shared" ref="H510:O510" si="114">SUM(H493:H506)</f>
        <v>510200.12359274406</v>
      </c>
      <c r="I510" s="28">
        <f t="shared" si="114"/>
        <v>85516.923523140009</v>
      </c>
      <c r="J510" s="28">
        <f t="shared" si="114"/>
        <v>18831.158639999998</v>
      </c>
      <c r="K510" s="28">
        <f t="shared" si="114"/>
        <v>485710.517769864</v>
      </c>
      <c r="L510" s="28">
        <f t="shared" si="114"/>
        <v>115527.16651638002</v>
      </c>
      <c r="M510" s="28">
        <f t="shared" si="114"/>
        <v>102040.025097732</v>
      </c>
      <c r="N510" s="28">
        <f t="shared" si="114"/>
        <v>1317825.91513986</v>
      </c>
      <c r="O510" s="28">
        <f t="shared" si="114"/>
        <v>1613829.383069</v>
      </c>
      <c r="P510" s="23">
        <f>SUM(P493:P509)</f>
        <v>16.711206037419792</v>
      </c>
    </row>
    <row r="511" spans="2:16" x14ac:dyDescent="0.25">
      <c r="B511" s="99" t="s">
        <v>1100</v>
      </c>
      <c r="C511" s="99"/>
      <c r="D511" s="99"/>
      <c r="E511" s="99"/>
      <c r="F511" s="99"/>
      <c r="G511" s="99"/>
      <c r="H511" s="99"/>
      <c r="I511" s="99"/>
      <c r="J511" s="99"/>
      <c r="K511" s="99"/>
      <c r="L511" s="99"/>
      <c r="M511" s="107"/>
      <c r="N511" s="107"/>
      <c r="O511" s="26"/>
      <c r="P511" s="25"/>
    </row>
    <row r="512" spans="2:16" x14ac:dyDescent="0.25">
      <c r="B512" s="99"/>
      <c r="C512" s="99"/>
      <c r="D512" s="99"/>
      <c r="E512" s="99"/>
      <c r="F512" s="99"/>
      <c r="G512" s="99"/>
      <c r="H512" s="99"/>
      <c r="I512" s="99"/>
      <c r="J512" s="99"/>
      <c r="K512" s="99"/>
      <c r="L512" s="99"/>
      <c r="M512" s="108"/>
      <c r="N512" s="108"/>
      <c r="O512" s="27"/>
      <c r="P512" s="18"/>
    </row>
    <row r="513" spans="2:16" ht="14.25" customHeight="1" x14ac:dyDescent="0.25">
      <c r="B513" s="19"/>
      <c r="C513" s="20" t="s">
        <v>1020</v>
      </c>
      <c r="D513" s="102" t="s">
        <v>1021</v>
      </c>
      <c r="E513" s="102"/>
      <c r="F513" s="102"/>
      <c r="G513" s="102"/>
      <c r="H513" s="102"/>
      <c r="I513" s="102"/>
      <c r="J513" s="102"/>
      <c r="K513" s="102"/>
      <c r="L513" s="102"/>
      <c r="M513" s="102"/>
      <c r="N513" s="102"/>
      <c r="O513" s="102"/>
      <c r="P513" s="102"/>
    </row>
    <row r="514" spans="2:16" x14ac:dyDescent="0.25">
      <c r="B514" s="79"/>
      <c r="C514" s="80" t="s">
        <v>1101</v>
      </c>
      <c r="D514" s="103" t="s">
        <v>1102</v>
      </c>
      <c r="E514" s="103"/>
      <c r="F514" s="103"/>
      <c r="G514" s="103"/>
      <c r="H514" s="103"/>
      <c r="I514" s="103"/>
      <c r="J514" s="103"/>
      <c r="K514" s="103"/>
      <c r="L514" s="103"/>
      <c r="M514" s="103"/>
      <c r="N514" s="103"/>
      <c r="O514" s="103"/>
      <c r="P514" s="103"/>
    </row>
    <row r="515" spans="2:16" x14ac:dyDescent="0.25">
      <c r="B515" s="79"/>
      <c r="C515" s="80" t="s">
        <v>1103</v>
      </c>
      <c r="D515" s="105" t="s">
        <v>1104</v>
      </c>
      <c r="E515" s="105"/>
      <c r="F515" s="105"/>
      <c r="G515" s="105"/>
      <c r="H515" s="105"/>
      <c r="I515" s="105"/>
      <c r="J515" s="105"/>
      <c r="K515" s="105"/>
      <c r="L515" s="105"/>
      <c r="M515" s="105"/>
      <c r="N515" s="105"/>
      <c r="O515" s="105"/>
      <c r="P515" s="105"/>
    </row>
    <row r="516" spans="2:16" x14ac:dyDescent="0.25">
      <c r="B516" s="29">
        <v>1</v>
      </c>
      <c r="C516" s="34" t="s">
        <v>1105</v>
      </c>
      <c r="D516" s="35" t="s">
        <v>1106</v>
      </c>
      <c r="E516" s="35" t="s">
        <v>1107</v>
      </c>
      <c r="F516" s="74">
        <v>0.3</v>
      </c>
      <c r="G516" s="75">
        <v>6</v>
      </c>
      <c r="H516" s="82">
        <f>F516 * G516 * 165.031823</f>
        <v>297.05728139999997</v>
      </c>
      <c r="I516" s="82">
        <f>F516 * G516 * 1137.00312</f>
        <v>2046.6056160000001</v>
      </c>
      <c r="J516" s="82">
        <f>F516 * G516 * 0</f>
        <v>0</v>
      </c>
      <c r="K516" s="82">
        <f>F516 * G516 * 157.110296</f>
        <v>282.79853279999998</v>
      </c>
      <c r="L516" s="82">
        <f>F516 * G516 * 153.21025</f>
        <v>275.77844999999996</v>
      </c>
      <c r="M516" s="82">
        <f>F516 * G516 * 33.006365</f>
        <v>59.411456999999999</v>
      </c>
      <c r="N516" s="83">
        <f>SUM(H516:M516)</f>
        <v>2961.6513371999999</v>
      </c>
      <c r="O516" s="84">
        <f>N516*1.07*1.09*1.05</f>
        <v>3626.8826523051785</v>
      </c>
      <c r="P516" s="78">
        <f>IF($P$9&gt;0,O516/$P$9/12,0)</f>
        <v>2.0927864632698485E-2</v>
      </c>
    </row>
    <row r="517" spans="2:16" ht="14.25" customHeight="1" x14ac:dyDescent="0.25">
      <c r="B517" s="19"/>
      <c r="C517" s="20" t="s">
        <v>365</v>
      </c>
      <c r="D517" s="102" t="s">
        <v>366</v>
      </c>
      <c r="E517" s="102"/>
      <c r="F517" s="102"/>
      <c r="G517" s="102"/>
      <c r="H517" s="102"/>
      <c r="I517" s="102"/>
      <c r="J517" s="102"/>
      <c r="K517" s="102"/>
      <c r="L517" s="102"/>
      <c r="M517" s="102"/>
      <c r="N517" s="102"/>
      <c r="O517" s="102"/>
      <c r="P517" s="102"/>
    </row>
    <row r="518" spans="2:16" x14ac:dyDescent="0.25">
      <c r="B518" s="29">
        <v>2</v>
      </c>
      <c r="C518" s="34" t="s">
        <v>1108</v>
      </c>
      <c r="D518" s="35" t="s">
        <v>1109</v>
      </c>
      <c r="E518" s="35" t="s">
        <v>122</v>
      </c>
      <c r="F518" s="74">
        <v>0.6</v>
      </c>
      <c r="G518" s="75">
        <v>30</v>
      </c>
      <c r="H518" s="82">
        <f>F518 * G518 * 1022.6076</f>
        <v>18406.936799999999</v>
      </c>
      <c r="I518" s="82">
        <f>F518 * G518 * 0</f>
        <v>0</v>
      </c>
      <c r="J518" s="82">
        <f>F518 * G518 * 0</f>
        <v>0</v>
      </c>
      <c r="K518" s="82">
        <f>F518 * G518 * 973.522435</f>
        <v>17523.403829999999</v>
      </c>
      <c r="L518" s="82">
        <f>F518 * G518 * 209.593654</f>
        <v>3772.6857719999998</v>
      </c>
      <c r="M518" s="82">
        <f>F518 * G518 * 204.52152</f>
        <v>3681.3873600000002</v>
      </c>
      <c r="N518" s="83">
        <f>SUM(H518:M518)</f>
        <v>43384.413761999996</v>
      </c>
      <c r="O518" s="84">
        <f>N518*1.07*1.09*1.05</f>
        <v>53129.203859151639</v>
      </c>
      <c r="P518" s="78">
        <f t="shared" ref="P518:P519" si="115">IF($P$9&gt;0,O518/$P$9/12,0)</f>
        <v>0.30656651813663643</v>
      </c>
    </row>
    <row r="519" spans="2:16" x14ac:dyDescent="0.25">
      <c r="B519" s="29">
        <v>3</v>
      </c>
      <c r="C519" s="34" t="s">
        <v>1110</v>
      </c>
      <c r="D519" s="35" t="s">
        <v>1111</v>
      </c>
      <c r="E519" s="35" t="s">
        <v>1081</v>
      </c>
      <c r="F519" s="74">
        <v>0.6</v>
      </c>
      <c r="G519" s="75">
        <v>300</v>
      </c>
      <c r="H519" s="82">
        <f>F519 * G519 * 414.156078</f>
        <v>74548.094039999996</v>
      </c>
      <c r="I519" s="82">
        <f>F519 * G519 * 2.987568</f>
        <v>537.76224000000002</v>
      </c>
      <c r="J519" s="82">
        <f>F519 * G519 * 0</f>
        <v>0</v>
      </c>
      <c r="K519" s="82">
        <f>F519 * G519 * 394.276587</f>
        <v>70969.785659999994</v>
      </c>
      <c r="L519" s="82">
        <f>F519 * G519 * 85.199124</f>
        <v>15335.84232</v>
      </c>
      <c r="M519" s="82">
        <f>F519 * G519 * 82.831216</f>
        <v>14909.61888</v>
      </c>
      <c r="N519" s="83">
        <f>SUM(H519:M519)</f>
        <v>176301.10313999999</v>
      </c>
      <c r="O519" s="84">
        <f>N519*1.07*1.09*1.05</f>
        <v>215900.97542179111</v>
      </c>
      <c r="P519" s="78">
        <f t="shared" si="115"/>
        <v>1.2457933770818395</v>
      </c>
    </row>
    <row r="520" spans="2:16" ht="14.25" customHeight="1" x14ac:dyDescent="0.25">
      <c r="B520" s="106" t="s">
        <v>387</v>
      </c>
      <c r="C520" s="106"/>
      <c r="D520" s="106"/>
      <c r="E520" s="106"/>
      <c r="F520" s="106"/>
      <c r="G520" s="106"/>
      <c r="H520" s="28">
        <f t="shared" ref="H520:O520" si="116">SUM(H513:H519)</f>
        <v>93252.088121399996</v>
      </c>
      <c r="I520" s="28">
        <f t="shared" si="116"/>
        <v>2584.3678559999998</v>
      </c>
      <c r="J520" s="28">
        <f t="shared" si="116"/>
        <v>0</v>
      </c>
      <c r="K520" s="28">
        <f t="shared" si="116"/>
        <v>88775.988022799997</v>
      </c>
      <c r="L520" s="28">
        <f t="shared" si="116"/>
        <v>19384.306541999998</v>
      </c>
      <c r="M520" s="28">
        <f t="shared" si="116"/>
        <v>18650.417697000001</v>
      </c>
      <c r="N520" s="28">
        <f t="shared" si="116"/>
        <v>222647.16823919999</v>
      </c>
      <c r="O520" s="28">
        <f t="shared" si="116"/>
        <v>272657.06193324795</v>
      </c>
      <c r="P520" s="23">
        <f>SUM(P513:P519)</f>
        <v>1.5732877598511743</v>
      </c>
    </row>
    <row r="521" spans="2:16" x14ac:dyDescent="0.25">
      <c r="B521" s="99" t="s">
        <v>1112</v>
      </c>
      <c r="C521" s="99"/>
      <c r="D521" s="99"/>
      <c r="E521" s="99"/>
      <c r="F521" s="99"/>
      <c r="G521" s="99"/>
      <c r="H521" s="99"/>
      <c r="I521" s="99"/>
      <c r="J521" s="99"/>
      <c r="K521" s="99"/>
      <c r="L521" s="99"/>
      <c r="M521" s="107"/>
      <c r="N521" s="107"/>
      <c r="O521" s="26"/>
      <c r="P521" s="25"/>
    </row>
    <row r="522" spans="2:16" x14ac:dyDescent="0.25">
      <c r="B522" s="99"/>
      <c r="C522" s="99"/>
      <c r="D522" s="99"/>
      <c r="E522" s="99"/>
      <c r="F522" s="99"/>
      <c r="G522" s="99"/>
      <c r="H522" s="99"/>
      <c r="I522" s="99"/>
      <c r="J522" s="99"/>
      <c r="K522" s="99"/>
      <c r="L522" s="99"/>
      <c r="M522" s="108"/>
      <c r="N522" s="108"/>
      <c r="O522" s="27"/>
      <c r="P522" s="18"/>
    </row>
    <row r="523" spans="2:16" ht="14.25" customHeight="1" x14ac:dyDescent="0.25">
      <c r="B523" s="19"/>
      <c r="C523" s="20" t="s">
        <v>1113</v>
      </c>
      <c r="D523" s="102" t="s">
        <v>1114</v>
      </c>
      <c r="E523" s="102"/>
      <c r="F523" s="102"/>
      <c r="G523" s="102"/>
      <c r="H523" s="102"/>
      <c r="I523" s="102"/>
      <c r="J523" s="102"/>
      <c r="K523" s="102"/>
      <c r="L523" s="102"/>
      <c r="M523" s="102"/>
      <c r="N523" s="102"/>
      <c r="O523" s="102"/>
      <c r="P523" s="102"/>
    </row>
    <row r="524" spans="2:16" x14ac:dyDescent="0.25">
      <c r="B524" s="79"/>
      <c r="C524" s="80" t="s">
        <v>1115</v>
      </c>
      <c r="D524" s="103" t="s">
        <v>1116</v>
      </c>
      <c r="E524" s="103"/>
      <c r="F524" s="103"/>
      <c r="G524" s="103"/>
      <c r="H524" s="103"/>
      <c r="I524" s="103"/>
      <c r="J524" s="103"/>
      <c r="K524" s="103"/>
      <c r="L524" s="103"/>
      <c r="M524" s="103"/>
      <c r="N524" s="103"/>
      <c r="O524" s="103"/>
      <c r="P524" s="103"/>
    </row>
    <row r="525" spans="2:16" ht="45" x14ac:dyDescent="0.25">
      <c r="B525" s="29">
        <v>1</v>
      </c>
      <c r="C525" s="34" t="s">
        <v>1117</v>
      </c>
      <c r="D525" s="35" t="s">
        <v>1118</v>
      </c>
      <c r="E525" s="35" t="s">
        <v>1119</v>
      </c>
      <c r="F525" s="74">
        <v>2.2799999999999998</v>
      </c>
      <c r="G525" s="75">
        <v>12</v>
      </c>
      <c r="H525" s="82">
        <f>F525 * G525 * 1133.6668</f>
        <v>31017.123647999997</v>
      </c>
      <c r="I525" s="82">
        <f>F525 * G525 * 4.82112</f>
        <v>131.90584319999999</v>
      </c>
      <c r="J525" s="82">
        <f>F525 * G525 * 0</f>
        <v>0</v>
      </c>
      <c r="K525" s="82">
        <f>F525 * G525 * 1079.250794</f>
        <v>29528.301723839999</v>
      </c>
      <c r="L525" s="82">
        <f>F525 * G525 * 232.862565</f>
        <v>6371.1197783999996</v>
      </c>
      <c r="M525" s="82">
        <f>F525 * G525 * 226.73336</f>
        <v>6203.4247296000003</v>
      </c>
      <c r="N525" s="83">
        <f>SUM(H525:M525)</f>
        <v>73251.875723039993</v>
      </c>
      <c r="O525" s="84">
        <f>N525*1.07*1.09*1.05</f>
        <v>89705.345788570645</v>
      </c>
      <c r="P525" s="78">
        <f t="shared" ref="P525:P526" si="117">IF($P$9&gt;0,O525/$P$9/12,0)</f>
        <v>0.51761843805434749</v>
      </c>
    </row>
    <row r="526" spans="2:16" ht="45" x14ac:dyDescent="0.25">
      <c r="B526" s="29">
        <v>2</v>
      </c>
      <c r="C526" s="34" t="s">
        <v>1120</v>
      </c>
      <c r="D526" s="35" t="s">
        <v>1121</v>
      </c>
      <c r="E526" s="35" t="s">
        <v>1119</v>
      </c>
      <c r="F526" s="74">
        <v>1.0900000000000001</v>
      </c>
      <c r="G526" s="75">
        <v>2</v>
      </c>
      <c r="H526" s="82">
        <f>F526 * G526 * 807.737595</f>
        <v>1760.8679571000002</v>
      </c>
      <c r="I526" s="82">
        <f>F526 * G526 * 535.68</f>
        <v>1167.7824000000001</v>
      </c>
      <c r="J526" s="82">
        <f>F526 * G526 * 0</f>
        <v>0</v>
      </c>
      <c r="K526" s="82">
        <f>F526 * G526 * 768.966191</f>
        <v>1676.34629638</v>
      </c>
      <c r="L526" s="82">
        <f>F526 * G526 * 221.800298</f>
        <v>483.52464964000001</v>
      </c>
      <c r="M526" s="82">
        <f>F526 * G526 * 161.547519</f>
        <v>352.17359142000004</v>
      </c>
      <c r="N526" s="83">
        <f>SUM(H526:M526)</f>
        <v>5440.69489454</v>
      </c>
      <c r="O526" s="84">
        <f>N526*1.07*1.09*1.05</f>
        <v>6662.7565782771035</v>
      </c>
      <c r="P526" s="78">
        <f t="shared" si="117"/>
        <v>3.8445486418531037E-2</v>
      </c>
    </row>
    <row r="527" spans="2:16" ht="14.25" customHeight="1" x14ac:dyDescent="0.25">
      <c r="B527" s="106" t="s">
        <v>387</v>
      </c>
      <c r="C527" s="106"/>
      <c r="D527" s="106"/>
      <c r="E527" s="106"/>
      <c r="F527" s="106"/>
      <c r="G527" s="106"/>
      <c r="H527" s="28">
        <f t="shared" ref="H527:O527" si="118">SUM(H523:H526)</f>
        <v>32777.991605099996</v>
      </c>
      <c r="I527" s="28">
        <f t="shared" si="118"/>
        <v>1299.6882432</v>
      </c>
      <c r="J527" s="28">
        <f t="shared" si="118"/>
        <v>0</v>
      </c>
      <c r="K527" s="28">
        <f t="shared" si="118"/>
        <v>31204.64802022</v>
      </c>
      <c r="L527" s="28">
        <f t="shared" si="118"/>
        <v>6854.6444280399992</v>
      </c>
      <c r="M527" s="28">
        <f t="shared" si="118"/>
        <v>6555.5983210200002</v>
      </c>
      <c r="N527" s="28">
        <f t="shared" si="118"/>
        <v>78692.570617580001</v>
      </c>
      <c r="O527" s="28">
        <f t="shared" si="118"/>
        <v>96368.102366847743</v>
      </c>
      <c r="P527" s="23">
        <f>SUM(P523:P526)</f>
        <v>0.55606392447287856</v>
      </c>
    </row>
    <row r="528" spans="2:16" x14ac:dyDescent="0.25">
      <c r="B528" s="99" t="s">
        <v>1122</v>
      </c>
      <c r="C528" s="99"/>
      <c r="D528" s="30"/>
      <c r="E528" s="30"/>
      <c r="F528" s="30"/>
      <c r="G528" s="30"/>
      <c r="H528" s="30"/>
      <c r="I528" s="30"/>
      <c r="J528" s="30"/>
      <c r="K528" s="30"/>
      <c r="L528" s="30"/>
      <c r="M528" s="31"/>
      <c r="N528" s="31"/>
      <c r="O528" s="31"/>
      <c r="P528" s="32"/>
    </row>
    <row r="529" spans="2:16" x14ac:dyDescent="0.25">
      <c r="B529" s="19"/>
      <c r="C529" s="20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</row>
    <row r="530" spans="2:16" x14ac:dyDescent="0.25">
      <c r="B530" s="29">
        <v>301</v>
      </c>
      <c r="C530" s="34"/>
      <c r="D530" s="35" t="s">
        <v>1123</v>
      </c>
      <c r="E530" s="35"/>
      <c r="F530" s="36"/>
      <c r="G530" s="37"/>
      <c r="H530" s="38">
        <f>P539*12*$P$9</f>
        <v>13864.32</v>
      </c>
      <c r="I530" s="38">
        <f>F530 * G530 * 89375.08344</f>
        <v>0</v>
      </c>
      <c r="J530" s="38">
        <f>F530 * G530 * 0</f>
        <v>0</v>
      </c>
      <c r="K530" s="38">
        <f>F530 * G530 * 538.384453</f>
        <v>0</v>
      </c>
      <c r="L530" s="38">
        <f>F530 * G530 * 9500.294767</f>
        <v>0</v>
      </c>
      <c r="M530" s="38">
        <f>F530 * G530 * 113.105978</f>
        <v>0</v>
      </c>
      <c r="N530" s="39">
        <f>SUM(H530:M530)/12</f>
        <v>1155.3599999999999</v>
      </c>
      <c r="O530" s="40">
        <f>N530*1.07*1.09*1.05</f>
        <v>1414.8711864000002</v>
      </c>
      <c r="P530" s="41">
        <f t="shared" ref="P530:P532" si="119">IF($P$9&gt;0,O530/$P$9/12,0)</f>
        <v>8.1641000000000005E-3</v>
      </c>
    </row>
    <row r="531" spans="2:16" x14ac:dyDescent="0.25">
      <c r="B531" s="29">
        <v>302</v>
      </c>
      <c r="C531" s="34"/>
      <c r="D531" s="35" t="s">
        <v>1124</v>
      </c>
      <c r="E531" s="35"/>
      <c r="F531" s="36"/>
      <c r="G531" s="37"/>
      <c r="H531" s="38">
        <f>P540*12*$P$9</f>
        <v>207964.79999999999</v>
      </c>
      <c r="I531" s="38">
        <f>F531 * G531 * 22761.733198</f>
        <v>0</v>
      </c>
      <c r="J531" s="38">
        <f>F531 * G531 * 0</f>
        <v>0</v>
      </c>
      <c r="K531" s="38">
        <f>F531 * G531 * 14191.989123</f>
        <v>0</v>
      </c>
      <c r="L531" s="38">
        <f>F531 * G531 * 5445.433762</f>
        <v>0</v>
      </c>
      <c r="M531" s="38">
        <f>F531 * G531 * 2981.51032</f>
        <v>0</v>
      </c>
      <c r="N531" s="39">
        <f>SUM(H531:M531)/12</f>
        <v>17330.399999999998</v>
      </c>
      <c r="O531" s="40">
        <f>N531*1.07*1.09*1.05</f>
        <v>21223.067796000003</v>
      </c>
      <c r="P531" s="41">
        <f t="shared" si="119"/>
        <v>0.12246150000000001</v>
      </c>
    </row>
    <row r="532" spans="2:16" x14ac:dyDescent="0.25">
      <c r="B532" s="29">
        <v>303</v>
      </c>
      <c r="C532" s="34"/>
      <c r="D532" s="35" t="s">
        <v>1125</v>
      </c>
      <c r="E532" s="35"/>
      <c r="F532" s="36"/>
      <c r="G532" s="37"/>
      <c r="H532" s="38">
        <f>P541*12*$P$9</f>
        <v>95317.200000000012</v>
      </c>
      <c r="I532" s="38"/>
      <c r="J532" s="38"/>
      <c r="K532" s="38"/>
      <c r="L532" s="38"/>
      <c r="M532" s="38"/>
      <c r="N532" s="39">
        <f>SUM(H532:M532)/12</f>
        <v>7943.1000000000013</v>
      </c>
      <c r="O532" s="40">
        <f>N532*1.07*1.09*1.05</f>
        <v>9727.2394065000044</v>
      </c>
      <c r="P532" s="41">
        <f t="shared" si="119"/>
        <v>5.612818750000003E-2</v>
      </c>
    </row>
    <row r="533" spans="2:16" ht="13.9" customHeight="1" x14ac:dyDescent="0.25">
      <c r="B533" s="106" t="s">
        <v>387</v>
      </c>
      <c r="C533" s="106"/>
      <c r="D533" s="42"/>
      <c r="E533" s="42"/>
      <c r="F533" s="42"/>
      <c r="G533" s="42"/>
      <c r="H533" s="43">
        <f t="shared" ref="H533:O533" si="120">SUM(H530:H532)</f>
        <v>317146.32</v>
      </c>
      <c r="I533" s="43">
        <f t="shared" si="120"/>
        <v>0</v>
      </c>
      <c r="J533" s="43">
        <f t="shared" si="120"/>
        <v>0</v>
      </c>
      <c r="K533" s="43">
        <f t="shared" si="120"/>
        <v>0</v>
      </c>
      <c r="L533" s="43">
        <f t="shared" si="120"/>
        <v>0</v>
      </c>
      <c r="M533" s="43">
        <f t="shared" si="120"/>
        <v>0</v>
      </c>
      <c r="N533" s="43">
        <f t="shared" si="120"/>
        <v>26428.86</v>
      </c>
      <c r="O533" s="43">
        <f t="shared" si="120"/>
        <v>32365.178388900007</v>
      </c>
      <c r="P533" s="44">
        <f>SUM(P530:P532)</f>
        <v>0.18675378750000005</v>
      </c>
    </row>
    <row r="534" spans="2:16" x14ac:dyDescent="0.25">
      <c r="B534" s="45" t="s">
        <v>1126</v>
      </c>
      <c r="C534" s="45"/>
      <c r="D534" s="45"/>
      <c r="E534" s="45"/>
      <c r="F534" s="45"/>
      <c r="G534" s="45"/>
      <c r="H534" s="45"/>
      <c r="I534" s="45"/>
      <c r="J534" s="45"/>
      <c r="K534" s="45"/>
      <c r="L534" s="45"/>
      <c r="M534" s="31"/>
      <c r="N534" s="31"/>
      <c r="O534" s="31"/>
      <c r="P534" s="32"/>
    </row>
    <row r="535" spans="2:16" x14ac:dyDescent="0.25">
      <c r="B535" s="19"/>
      <c r="C535" s="20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</row>
    <row r="536" spans="2:16" x14ac:dyDescent="0.25">
      <c r="B536" s="29">
        <v>304</v>
      </c>
      <c r="C536" s="34"/>
      <c r="D536" s="35" t="s">
        <v>1126</v>
      </c>
      <c r="E536" s="35"/>
      <c r="F536" s="36"/>
      <c r="G536" s="37"/>
      <c r="H536" s="38">
        <f>5.4*12*P9</f>
        <v>935841.60000000021</v>
      </c>
      <c r="I536" s="38">
        <f>F536 * G536 * 89375.08344</f>
        <v>0</v>
      </c>
      <c r="J536" s="38">
        <f>F536 * G536 * 0</f>
        <v>0</v>
      </c>
      <c r="K536" s="38">
        <f>F536 * G536 * 538.384453</f>
        <v>0</v>
      </c>
      <c r="L536" s="38">
        <f>F536 * G536 * 9500.294767</f>
        <v>0</v>
      </c>
      <c r="M536" s="38">
        <f>F536 * G536 * 113.105978</f>
        <v>0</v>
      </c>
      <c r="N536" s="39">
        <f>SUM(H536:M536)</f>
        <v>935841.60000000021</v>
      </c>
      <c r="O536" s="40">
        <f>N536*1.07*1.09*1.05</f>
        <v>1146045.6609840004</v>
      </c>
      <c r="P536" s="41">
        <f>IF($P$9&gt;0,N536/$P$9/12,0)</f>
        <v>5.4000000000000012</v>
      </c>
    </row>
    <row r="537" spans="2:16" ht="13.9" customHeight="1" x14ac:dyDescent="0.25">
      <c r="B537" s="106" t="s">
        <v>387</v>
      </c>
      <c r="C537" s="106"/>
      <c r="D537" s="42"/>
      <c r="E537" s="42"/>
      <c r="F537" s="42"/>
      <c r="G537" s="42"/>
      <c r="H537" s="43">
        <f t="shared" ref="H537:P537" si="121">SUM(H536)</f>
        <v>935841.60000000021</v>
      </c>
      <c r="I537" s="43">
        <f t="shared" si="121"/>
        <v>0</v>
      </c>
      <c r="J537" s="43">
        <f t="shared" si="121"/>
        <v>0</v>
      </c>
      <c r="K537" s="43">
        <f t="shared" si="121"/>
        <v>0</v>
      </c>
      <c r="L537" s="43">
        <f t="shared" si="121"/>
        <v>0</v>
      </c>
      <c r="M537" s="43">
        <f t="shared" si="121"/>
        <v>0</v>
      </c>
      <c r="N537" s="43">
        <f t="shared" si="121"/>
        <v>935841.60000000021</v>
      </c>
      <c r="O537" s="43">
        <f>SUM(O536)</f>
        <v>1146045.6609840004</v>
      </c>
      <c r="P537" s="44">
        <f t="shared" si="121"/>
        <v>5.4000000000000012</v>
      </c>
    </row>
    <row r="538" spans="2:16" hidden="1" x14ac:dyDescent="0.25">
      <c r="B538" s="46" t="s">
        <v>1127</v>
      </c>
      <c r="C538" s="13"/>
      <c r="D538" s="47"/>
      <c r="E538" s="48"/>
      <c r="F538" s="49"/>
      <c r="G538" s="50"/>
      <c r="H538" s="51"/>
      <c r="I538" s="51"/>
      <c r="J538" s="51"/>
      <c r="K538" s="51"/>
      <c r="L538" s="51"/>
      <c r="M538" s="51"/>
      <c r="N538" s="51"/>
      <c r="O538" s="51"/>
      <c r="P538" s="51"/>
    </row>
    <row r="539" spans="2:16" hidden="1" x14ac:dyDescent="0.25">
      <c r="B539" s="52"/>
      <c r="C539" s="53" t="s">
        <v>1128</v>
      </c>
      <c r="D539" s="47"/>
      <c r="E539" s="48"/>
      <c r="F539" s="49"/>
      <c r="G539" s="50"/>
      <c r="H539" s="51"/>
      <c r="I539" s="51"/>
      <c r="J539" s="51"/>
      <c r="K539" s="51"/>
      <c r="L539" s="51"/>
      <c r="M539" s="51"/>
      <c r="N539" s="51"/>
      <c r="O539" s="51"/>
      <c r="P539" s="51">
        <v>0.08</v>
      </c>
    </row>
    <row r="540" spans="2:16" hidden="1" x14ac:dyDescent="0.25">
      <c r="B540" s="54"/>
      <c r="C540" s="55" t="s">
        <v>1129</v>
      </c>
      <c r="D540" s="56"/>
      <c r="E540" s="57"/>
      <c r="F540" s="58"/>
      <c r="G540" s="59"/>
      <c r="H540" s="60"/>
      <c r="I540" s="60"/>
      <c r="J540" s="60"/>
      <c r="K540" s="60"/>
      <c r="L540" s="60"/>
      <c r="M540" s="60"/>
      <c r="N540" s="60"/>
      <c r="O540" s="60"/>
      <c r="P540" s="60">
        <v>1.2</v>
      </c>
    </row>
    <row r="541" spans="2:16" hidden="1" x14ac:dyDescent="0.25">
      <c r="B541" s="54"/>
      <c r="C541" s="53" t="s">
        <v>1130</v>
      </c>
      <c r="D541" s="56"/>
      <c r="E541" s="57"/>
      <c r="F541" s="58"/>
      <c r="G541" s="59"/>
      <c r="H541" s="60"/>
      <c r="I541" s="60"/>
      <c r="J541" s="60"/>
      <c r="K541" s="60"/>
      <c r="L541" s="60"/>
      <c r="M541" s="60"/>
      <c r="N541" s="60"/>
      <c r="O541" s="60"/>
      <c r="P541" s="60">
        <v>0.55000000000000004</v>
      </c>
    </row>
    <row r="542" spans="2:16" x14ac:dyDescent="0.25">
      <c r="B542" s="61" t="s">
        <v>1131</v>
      </c>
      <c r="C542" s="62"/>
      <c r="D542" s="62"/>
      <c r="E542" s="63"/>
      <c r="F542" s="64"/>
      <c r="G542" s="65"/>
      <c r="H542" s="66">
        <f>H537+H533+H527+H520+H510+H490+H469+H445+H437+H398+H315+H205+H163+H459</f>
        <v>6268252.0794886118</v>
      </c>
      <c r="I542" s="66">
        <f t="shared" ref="I542:P542" si="122">I537+I533+I527+I520+I510+I490+I469+I445+I437+I398+I315+I205+I163+I459</f>
        <v>1025536.0562313119</v>
      </c>
      <c r="J542" s="66">
        <f t="shared" si="122"/>
        <v>29106.211452676402</v>
      </c>
      <c r="K542" s="66">
        <f t="shared" si="122"/>
        <v>2533581.8031618721</v>
      </c>
      <c r="L542" s="66">
        <f t="shared" si="122"/>
        <v>655826.34273566108</v>
      </c>
      <c r="M542" s="66">
        <f t="shared" si="122"/>
        <v>532265.08540791669</v>
      </c>
      <c r="N542" s="66">
        <f t="shared" si="122"/>
        <v>10741007.053434696</v>
      </c>
      <c r="O542" s="66">
        <f t="shared" si="122"/>
        <v>13153598.352741931</v>
      </c>
      <c r="P542" s="66">
        <f t="shared" si="122"/>
        <v>82.534757520269238</v>
      </c>
    </row>
    <row r="544" spans="2:16" x14ac:dyDescent="0.25">
      <c r="D544" s="6" t="s">
        <v>1132</v>
      </c>
      <c r="E544" s="3" t="s">
        <v>1133</v>
      </c>
      <c r="F544" s="3"/>
      <c r="G544" s="4"/>
      <c r="H544" s="7"/>
      <c r="I544" s="7"/>
      <c r="J544" s="4" t="s">
        <v>1139</v>
      </c>
      <c r="K544" s="3"/>
    </row>
    <row r="545" spans="4:11" x14ac:dyDescent="0.25">
      <c r="D545" s="3"/>
      <c r="E545" s="3"/>
      <c r="F545" s="3"/>
      <c r="G545" s="4"/>
      <c r="H545" s="110" t="s">
        <v>1134</v>
      </c>
      <c r="I545" s="110"/>
      <c r="J545" s="4"/>
      <c r="K545" s="3"/>
    </row>
    <row r="546" spans="4:11" x14ac:dyDescent="0.25">
      <c r="D546" s="3"/>
      <c r="E546" s="3"/>
      <c r="F546" s="3"/>
      <c r="G546" s="4"/>
      <c r="H546" s="4"/>
      <c r="I546" s="4"/>
      <c r="J546" s="4"/>
      <c r="K546" s="3"/>
    </row>
    <row r="547" spans="4:11" x14ac:dyDescent="0.25">
      <c r="D547" s="3"/>
      <c r="E547" s="3"/>
      <c r="F547" s="3"/>
      <c r="G547" s="4"/>
      <c r="H547" s="4"/>
      <c r="I547" s="4"/>
      <c r="J547" s="4"/>
      <c r="K547" s="3"/>
    </row>
    <row r="548" spans="4:11" x14ac:dyDescent="0.25">
      <c r="D548" s="3"/>
      <c r="E548" s="3" t="s">
        <v>1135</v>
      </c>
      <c r="F548" s="3"/>
      <c r="G548" s="4"/>
      <c r="H548" s="7"/>
      <c r="I548" s="7"/>
      <c r="J548" s="4" t="s">
        <v>1136</v>
      </c>
      <c r="K548" s="3"/>
    </row>
    <row r="549" spans="4:11" x14ac:dyDescent="0.25">
      <c r="D549" s="3"/>
      <c r="E549" s="3"/>
      <c r="F549" s="3"/>
      <c r="G549" s="4"/>
      <c r="H549" s="110" t="s">
        <v>1134</v>
      </c>
      <c r="I549" s="110"/>
      <c r="J549" s="4"/>
      <c r="K549" s="3"/>
    </row>
    <row r="550" spans="4:11" x14ac:dyDescent="0.25">
      <c r="D550" s="3"/>
      <c r="E550" s="3"/>
      <c r="F550" s="3"/>
      <c r="G550" s="4"/>
      <c r="H550" s="4"/>
      <c r="I550" s="4"/>
      <c r="J550" s="4"/>
      <c r="K550" s="3"/>
    </row>
    <row r="551" spans="4:11" x14ac:dyDescent="0.25">
      <c r="D551" s="3"/>
      <c r="E551" s="3"/>
      <c r="F551" s="3"/>
      <c r="G551" s="4"/>
      <c r="H551" s="4"/>
      <c r="I551" s="4"/>
      <c r="J551" s="4"/>
      <c r="K551" s="3"/>
    </row>
    <row r="552" spans="4:11" x14ac:dyDescent="0.25">
      <c r="D552" s="3" t="s">
        <v>1137</v>
      </c>
      <c r="E552" s="3"/>
      <c r="F552" s="3"/>
      <c r="G552" s="4"/>
      <c r="H552" s="4"/>
      <c r="I552" s="4"/>
      <c r="J552" s="4"/>
      <c r="K552" s="3"/>
    </row>
    <row r="553" spans="4:11" x14ac:dyDescent="0.25">
      <c r="D553" s="8" t="s">
        <v>1140</v>
      </c>
      <c r="E553" s="3"/>
      <c r="F553" s="3"/>
      <c r="G553" s="4"/>
      <c r="H553" s="4"/>
      <c r="I553" s="4"/>
      <c r="J553" s="4"/>
      <c r="K553" s="3"/>
    </row>
  </sheetData>
  <mergeCells count="234">
    <mergeCell ref="D524:P524"/>
    <mergeCell ref="B527:G527"/>
    <mergeCell ref="B528:C528"/>
    <mergeCell ref="B533:C533"/>
    <mergeCell ref="B537:C537"/>
    <mergeCell ref="H545:I545"/>
    <mergeCell ref="H549:I549"/>
    <mergeCell ref="D513:P513"/>
    <mergeCell ref="D514:P514"/>
    <mergeCell ref="D515:P515"/>
    <mergeCell ref="D517:P517"/>
    <mergeCell ref="B520:G520"/>
    <mergeCell ref="B521:L522"/>
    <mergeCell ref="M521:N521"/>
    <mergeCell ref="M522:N522"/>
    <mergeCell ref="D523:P523"/>
    <mergeCell ref="D493:P493"/>
    <mergeCell ref="D494:P494"/>
    <mergeCell ref="D496:P496"/>
    <mergeCell ref="D497:P497"/>
    <mergeCell ref="D501:P501"/>
    <mergeCell ref="D503:P503"/>
    <mergeCell ref="D505:P505"/>
    <mergeCell ref="B510:G510"/>
    <mergeCell ref="B511:L512"/>
    <mergeCell ref="M511:N511"/>
    <mergeCell ref="M512:N512"/>
    <mergeCell ref="D475:P475"/>
    <mergeCell ref="D478:P478"/>
    <mergeCell ref="D481:P481"/>
    <mergeCell ref="D484:P484"/>
    <mergeCell ref="D487:P487"/>
    <mergeCell ref="B490:G490"/>
    <mergeCell ref="B491:L492"/>
    <mergeCell ref="M491:N491"/>
    <mergeCell ref="M492:N492"/>
    <mergeCell ref="D464:P464"/>
    <mergeCell ref="D467:P467"/>
    <mergeCell ref="B469:G469"/>
    <mergeCell ref="B470:L471"/>
    <mergeCell ref="M470:N470"/>
    <mergeCell ref="M471:N471"/>
    <mergeCell ref="D472:P472"/>
    <mergeCell ref="D473:P473"/>
    <mergeCell ref="D474:P474"/>
    <mergeCell ref="D453:P453"/>
    <mergeCell ref="D455:P455"/>
    <mergeCell ref="D456:P456"/>
    <mergeCell ref="B459:G459"/>
    <mergeCell ref="B460:L461"/>
    <mergeCell ref="M460:N460"/>
    <mergeCell ref="M461:N461"/>
    <mergeCell ref="D462:P462"/>
    <mergeCell ref="D463:P463"/>
    <mergeCell ref="D442:P442"/>
    <mergeCell ref="B445:G445"/>
    <mergeCell ref="B446:L447"/>
    <mergeCell ref="M446:N446"/>
    <mergeCell ref="M447:N447"/>
    <mergeCell ref="D448:P448"/>
    <mergeCell ref="D449:P449"/>
    <mergeCell ref="D450:P450"/>
    <mergeCell ref="D452:P452"/>
    <mergeCell ref="D413:P413"/>
    <mergeCell ref="D419:P419"/>
    <mergeCell ref="D420:P420"/>
    <mergeCell ref="D426:P426"/>
    <mergeCell ref="B437:G437"/>
    <mergeCell ref="B438:L439"/>
    <mergeCell ref="M438:N438"/>
    <mergeCell ref="M439:N439"/>
    <mergeCell ref="D440:P440"/>
    <mergeCell ref="B398:G398"/>
    <mergeCell ref="B399:L400"/>
    <mergeCell ref="M399:N399"/>
    <mergeCell ref="M400:N400"/>
    <mergeCell ref="D401:P401"/>
    <mergeCell ref="D402:P402"/>
    <mergeCell ref="D403:P403"/>
    <mergeCell ref="D406:P406"/>
    <mergeCell ref="D411:P411"/>
    <mergeCell ref="D369:P369"/>
    <mergeCell ref="D373:P373"/>
    <mergeCell ref="D374:P374"/>
    <mergeCell ref="D375:P375"/>
    <mergeCell ref="D377:P377"/>
    <mergeCell ref="D385:P385"/>
    <mergeCell ref="D388:P388"/>
    <mergeCell ref="D389:P389"/>
    <mergeCell ref="D393:P393"/>
    <mergeCell ref="D346:P346"/>
    <mergeCell ref="D349:P349"/>
    <mergeCell ref="D351:P351"/>
    <mergeCell ref="D355:P355"/>
    <mergeCell ref="D359:P359"/>
    <mergeCell ref="D361:P361"/>
    <mergeCell ref="D363:P363"/>
    <mergeCell ref="D365:P365"/>
    <mergeCell ref="D366:P366"/>
    <mergeCell ref="D320:P320"/>
    <mergeCell ref="D326:P326"/>
    <mergeCell ref="D330:P330"/>
    <mergeCell ref="D331:P331"/>
    <mergeCell ref="D335:P335"/>
    <mergeCell ref="D338:P338"/>
    <mergeCell ref="D341:P341"/>
    <mergeCell ref="D342:P342"/>
    <mergeCell ref="D344:P344"/>
    <mergeCell ref="D302:P302"/>
    <mergeCell ref="D311:P311"/>
    <mergeCell ref="D312:P312"/>
    <mergeCell ref="B315:G315"/>
    <mergeCell ref="B316:L317"/>
    <mergeCell ref="M316:N316"/>
    <mergeCell ref="M317:N317"/>
    <mergeCell ref="D318:P318"/>
    <mergeCell ref="D319:P319"/>
    <mergeCell ref="D272:P272"/>
    <mergeCell ref="D273:P273"/>
    <mergeCell ref="D278:P278"/>
    <mergeCell ref="D281:P281"/>
    <mergeCell ref="D283:P283"/>
    <mergeCell ref="D286:P286"/>
    <mergeCell ref="D287:P287"/>
    <mergeCell ref="D292:P292"/>
    <mergeCell ref="D293:P293"/>
    <mergeCell ref="D247:P247"/>
    <mergeCell ref="D249:P249"/>
    <mergeCell ref="D251:P251"/>
    <mergeCell ref="D254:P254"/>
    <mergeCell ref="D255:P255"/>
    <mergeCell ref="D257:P257"/>
    <mergeCell ref="D263:P263"/>
    <mergeCell ref="D264:P264"/>
    <mergeCell ref="D269:P269"/>
    <mergeCell ref="D220:P220"/>
    <mergeCell ref="D224:P224"/>
    <mergeCell ref="D228:P228"/>
    <mergeCell ref="D235:P235"/>
    <mergeCell ref="D236:P236"/>
    <mergeCell ref="D238:P238"/>
    <mergeCell ref="D241:P241"/>
    <mergeCell ref="D242:P242"/>
    <mergeCell ref="D244:P244"/>
    <mergeCell ref="D200:P200"/>
    <mergeCell ref="B205:G205"/>
    <mergeCell ref="B206:L207"/>
    <mergeCell ref="M206:N206"/>
    <mergeCell ref="M207:N207"/>
    <mergeCell ref="D208:P208"/>
    <mergeCell ref="D209:P209"/>
    <mergeCell ref="D210:P210"/>
    <mergeCell ref="D216:P216"/>
    <mergeCell ref="D167:P167"/>
    <mergeCell ref="D173:P173"/>
    <mergeCell ref="D174:P174"/>
    <mergeCell ref="D180:P180"/>
    <mergeCell ref="D183:P183"/>
    <mergeCell ref="D186:P186"/>
    <mergeCell ref="D188:P188"/>
    <mergeCell ref="D191:P191"/>
    <mergeCell ref="D199:P199"/>
    <mergeCell ref="D153:P153"/>
    <mergeCell ref="D154:P154"/>
    <mergeCell ref="D159:P159"/>
    <mergeCell ref="D161:P161"/>
    <mergeCell ref="B163:G163"/>
    <mergeCell ref="B164:L165"/>
    <mergeCell ref="M164:N164"/>
    <mergeCell ref="M165:N165"/>
    <mergeCell ref="D166:P166"/>
    <mergeCell ref="D126:P126"/>
    <mergeCell ref="D129:P129"/>
    <mergeCell ref="D131:P131"/>
    <mergeCell ref="D133:P133"/>
    <mergeCell ref="D137:P137"/>
    <mergeCell ref="D138:P138"/>
    <mergeCell ref="D140:P140"/>
    <mergeCell ref="D144:P144"/>
    <mergeCell ref="D151:P151"/>
    <mergeCell ref="D96:P96"/>
    <mergeCell ref="D100:P100"/>
    <mergeCell ref="D102:P102"/>
    <mergeCell ref="D103:P103"/>
    <mergeCell ref="D112:P112"/>
    <mergeCell ref="D120:P120"/>
    <mergeCell ref="D121:P121"/>
    <mergeCell ref="D123:P123"/>
    <mergeCell ref="D125:P125"/>
    <mergeCell ref="D74:P74"/>
    <mergeCell ref="D75:P75"/>
    <mergeCell ref="D77:P77"/>
    <mergeCell ref="D78:P78"/>
    <mergeCell ref="D81:P81"/>
    <mergeCell ref="D85:P85"/>
    <mergeCell ref="D87:P87"/>
    <mergeCell ref="D90:P90"/>
    <mergeCell ref="D93:P93"/>
    <mergeCell ref="D57:P57"/>
    <mergeCell ref="D59:P59"/>
    <mergeCell ref="D60:P60"/>
    <mergeCell ref="D62:P62"/>
    <mergeCell ref="D65:P65"/>
    <mergeCell ref="D66:P66"/>
    <mergeCell ref="D69:P69"/>
    <mergeCell ref="D71:P71"/>
    <mergeCell ref="D73:P73"/>
    <mergeCell ref="D38:P38"/>
    <mergeCell ref="D41:P41"/>
    <mergeCell ref="D43:P43"/>
    <mergeCell ref="D44:P44"/>
    <mergeCell ref="D46:P46"/>
    <mergeCell ref="D47:P47"/>
    <mergeCell ref="D49:P49"/>
    <mergeCell ref="D55:P55"/>
    <mergeCell ref="D56:P56"/>
    <mergeCell ref="D22:P22"/>
    <mergeCell ref="D24:P24"/>
    <mergeCell ref="D26:P26"/>
    <mergeCell ref="D27:P27"/>
    <mergeCell ref="D30:P30"/>
    <mergeCell ref="D31:P31"/>
    <mergeCell ref="D33:P33"/>
    <mergeCell ref="D35:P35"/>
    <mergeCell ref="D36:P36"/>
    <mergeCell ref="D5:F5"/>
    <mergeCell ref="B8:L9"/>
    <mergeCell ref="M8:N8"/>
    <mergeCell ref="M9:N9"/>
    <mergeCell ref="D10:P10"/>
    <mergeCell ref="D17:P17"/>
    <mergeCell ref="D18:P18"/>
    <mergeCell ref="D19:P19"/>
    <mergeCell ref="D20:P20"/>
  </mergeCells>
  <pageMargins left="0.7" right="0.7" top="0.27569444444444402" bottom="0.27569444444444402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Смета</vt:lpstr>
      <vt:lpstr>Смета!Print_Titles_0</vt:lpstr>
      <vt:lpstr>Смета!Заголовки_для_печати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Лукина, 2/15 Техническое обслуживание и ремонт жилого здания</dc:title>
  <dc:subject/>
  <dc:creator/>
  <dc:description/>
  <cp:lastModifiedBy>User</cp:lastModifiedBy>
  <cp:revision>2</cp:revision>
  <cp:lastPrinted>2022-05-17T14:05:25Z</cp:lastPrinted>
  <dcterms:created xsi:type="dcterms:W3CDTF">2022-05-05T13:12:27Z</dcterms:created>
  <dcterms:modified xsi:type="dcterms:W3CDTF">2026-03-04T08:48:33Z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