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k_avia\Obmen\Общий отдел\Сметы для общих собраний в ГИС ЖКХ\пятнадцатиэтажки\"/>
    </mc:Choice>
  </mc:AlternateContent>
  <xr:revisionPtr revIDLastSave="0" documentId="13_ncr:1_{50E05401-9AF5-4D38-B752-836DD08296D7}" xr6:coauthVersionLast="37" xr6:coauthVersionMax="37" xr10:uidLastSave="{00000000-0000-0000-0000-000000000000}"/>
  <bookViews>
    <workbookView xWindow="0" yWindow="0" windowWidth="16380" windowHeight="8190" tabRatio="500" xr2:uid="{00000000-000D-0000-FFFF-FFFF00000000}"/>
  </bookViews>
  <sheets>
    <sheet name="Смета" sheetId="1" r:id="rId1"/>
  </sheets>
  <definedNames>
    <definedName name="Print_Titles_0" localSheetId="0">Смета!$7:$7</definedName>
    <definedName name="Print_Titles_0_0" localSheetId="0">Смета!$7:$7</definedName>
    <definedName name="Print_Titles_0_0_0" localSheetId="0">Смета!$7:$7</definedName>
    <definedName name="Print_Titles_0_0_0_0" localSheetId="0">Смета!$7:$7</definedName>
    <definedName name="Print_Titles_0_0_0_0_0" localSheetId="0">Смета!$7:$7</definedName>
    <definedName name="_xlnm.Print_Titles" localSheetId="0">Смета!$7:$7</definedName>
  </definedNames>
  <calcPr calcId="1790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502" i="1" l="1"/>
  <c r="F500" i="1"/>
  <c r="H529" i="1" l="1"/>
  <c r="M529" i="1"/>
  <c r="M530" i="1" s="1"/>
  <c r="L529" i="1"/>
  <c r="L530" i="1" s="1"/>
  <c r="K529" i="1"/>
  <c r="K530" i="1" s="1"/>
  <c r="J529" i="1"/>
  <c r="I529" i="1"/>
  <c r="I530" i="1" s="1"/>
  <c r="N525" i="1"/>
  <c r="O525" i="1" s="1"/>
  <c r="P525" i="1" s="1"/>
  <c r="H525" i="1"/>
  <c r="M524" i="1"/>
  <c r="L524" i="1"/>
  <c r="K524" i="1"/>
  <c r="J524" i="1"/>
  <c r="I524" i="1"/>
  <c r="H524" i="1"/>
  <c r="M523" i="1"/>
  <c r="M526" i="1" s="1"/>
  <c r="L523" i="1"/>
  <c r="L526" i="1" s="1"/>
  <c r="K523" i="1"/>
  <c r="J523" i="1"/>
  <c r="I523" i="1"/>
  <c r="I526" i="1" s="1"/>
  <c r="H523" i="1"/>
  <c r="H526" i="1" s="1"/>
  <c r="M519" i="1"/>
  <c r="L519" i="1"/>
  <c r="K519" i="1"/>
  <c r="J519" i="1"/>
  <c r="I519" i="1"/>
  <c r="H519" i="1"/>
  <c r="M518" i="1"/>
  <c r="M520" i="1" s="1"/>
  <c r="L518" i="1"/>
  <c r="L520" i="1" s="1"/>
  <c r="K518" i="1"/>
  <c r="J518" i="1"/>
  <c r="I518" i="1"/>
  <c r="I520" i="1" s="1"/>
  <c r="H518" i="1"/>
  <c r="H520" i="1" s="1"/>
  <c r="M512" i="1"/>
  <c r="L512" i="1"/>
  <c r="K512" i="1"/>
  <c r="J512" i="1"/>
  <c r="I512" i="1"/>
  <c r="H512" i="1"/>
  <c r="M511" i="1"/>
  <c r="L511" i="1"/>
  <c r="K511" i="1"/>
  <c r="J511" i="1"/>
  <c r="I511" i="1"/>
  <c r="H511" i="1"/>
  <c r="M509" i="1"/>
  <c r="L509" i="1"/>
  <c r="K509" i="1"/>
  <c r="K513" i="1" s="1"/>
  <c r="J509" i="1"/>
  <c r="I509" i="1"/>
  <c r="H509" i="1"/>
  <c r="N502" i="1"/>
  <c r="O502" i="1" s="1"/>
  <c r="P502" i="1" s="1"/>
  <c r="N501" i="1"/>
  <c r="O501" i="1" s="1"/>
  <c r="P501" i="1" s="1"/>
  <c r="M499" i="1"/>
  <c r="L499" i="1"/>
  <c r="K499" i="1"/>
  <c r="J499" i="1"/>
  <c r="I499" i="1"/>
  <c r="H499" i="1"/>
  <c r="M497" i="1"/>
  <c r="L497" i="1"/>
  <c r="K497" i="1"/>
  <c r="J497" i="1"/>
  <c r="I497" i="1"/>
  <c r="H497" i="1"/>
  <c r="N497" i="1" s="1"/>
  <c r="O497" i="1" s="1"/>
  <c r="P497" i="1" s="1"/>
  <c r="M495" i="1"/>
  <c r="L495" i="1"/>
  <c r="K495" i="1"/>
  <c r="J495" i="1"/>
  <c r="I495" i="1"/>
  <c r="H495" i="1"/>
  <c r="M493" i="1"/>
  <c r="L493" i="1"/>
  <c r="K493" i="1"/>
  <c r="J493" i="1"/>
  <c r="I493" i="1"/>
  <c r="H493" i="1"/>
  <c r="N493" i="1" s="1"/>
  <c r="O493" i="1" s="1"/>
  <c r="P493" i="1" s="1"/>
  <c r="M492" i="1"/>
  <c r="L492" i="1"/>
  <c r="K492" i="1"/>
  <c r="J492" i="1"/>
  <c r="I492" i="1"/>
  <c r="H492" i="1"/>
  <c r="M491" i="1"/>
  <c r="L491" i="1"/>
  <c r="K491" i="1"/>
  <c r="J491" i="1"/>
  <c r="I491" i="1"/>
  <c r="H491" i="1"/>
  <c r="N491" i="1" s="1"/>
  <c r="O491" i="1" s="1"/>
  <c r="P491" i="1" s="1"/>
  <c r="M488" i="1"/>
  <c r="M503" i="1" s="1"/>
  <c r="L488" i="1"/>
  <c r="K488" i="1"/>
  <c r="J488" i="1"/>
  <c r="J503" i="1" s="1"/>
  <c r="I488" i="1"/>
  <c r="H488" i="1"/>
  <c r="M482" i="1"/>
  <c r="L482" i="1"/>
  <c r="K482" i="1"/>
  <c r="J482" i="1"/>
  <c r="I482" i="1"/>
  <c r="H482" i="1"/>
  <c r="N482" i="1" s="1"/>
  <c r="O482" i="1" s="1"/>
  <c r="P482" i="1" s="1"/>
  <c r="M481" i="1"/>
  <c r="L481" i="1"/>
  <c r="K481" i="1"/>
  <c r="J481" i="1"/>
  <c r="I481" i="1"/>
  <c r="H481" i="1"/>
  <c r="M479" i="1"/>
  <c r="L479" i="1"/>
  <c r="K479" i="1"/>
  <c r="J479" i="1"/>
  <c r="I479" i="1"/>
  <c r="H479" i="1"/>
  <c r="N479" i="1" s="1"/>
  <c r="O479" i="1" s="1"/>
  <c r="P479" i="1" s="1"/>
  <c r="M478" i="1"/>
  <c r="L478" i="1"/>
  <c r="K478" i="1"/>
  <c r="J478" i="1"/>
  <c r="I478" i="1"/>
  <c r="H478" i="1"/>
  <c r="M476" i="1"/>
  <c r="L476" i="1"/>
  <c r="K476" i="1"/>
  <c r="J476" i="1"/>
  <c r="I476" i="1"/>
  <c r="H476" i="1"/>
  <c r="N476" i="1" s="1"/>
  <c r="O476" i="1" s="1"/>
  <c r="P476" i="1" s="1"/>
  <c r="M475" i="1"/>
  <c r="L475" i="1"/>
  <c r="K475" i="1"/>
  <c r="J475" i="1"/>
  <c r="I475" i="1"/>
  <c r="H475" i="1"/>
  <c r="M473" i="1"/>
  <c r="L473" i="1"/>
  <c r="K473" i="1"/>
  <c r="J473" i="1"/>
  <c r="I473" i="1"/>
  <c r="H473" i="1"/>
  <c r="N473" i="1" s="1"/>
  <c r="O473" i="1" s="1"/>
  <c r="P473" i="1" s="1"/>
  <c r="M472" i="1"/>
  <c r="L472" i="1"/>
  <c r="K472" i="1"/>
  <c r="J472" i="1"/>
  <c r="I472" i="1"/>
  <c r="H472" i="1"/>
  <c r="M470" i="1"/>
  <c r="L470" i="1"/>
  <c r="K470" i="1"/>
  <c r="J470" i="1"/>
  <c r="I470" i="1"/>
  <c r="H470" i="1"/>
  <c r="N470" i="1" s="1"/>
  <c r="O470" i="1" s="1"/>
  <c r="P470" i="1" s="1"/>
  <c r="M469" i="1"/>
  <c r="M483" i="1" s="1"/>
  <c r="L469" i="1"/>
  <c r="K469" i="1"/>
  <c r="J469" i="1"/>
  <c r="J483" i="1" s="1"/>
  <c r="I469" i="1"/>
  <c r="I483" i="1" s="1"/>
  <c r="H469" i="1"/>
  <c r="M461" i="1"/>
  <c r="L461" i="1"/>
  <c r="K461" i="1"/>
  <c r="J461" i="1"/>
  <c r="I461" i="1"/>
  <c r="H461" i="1"/>
  <c r="N461" i="1" s="1"/>
  <c r="O461" i="1" s="1"/>
  <c r="P461" i="1" s="1"/>
  <c r="M459" i="1"/>
  <c r="L459" i="1"/>
  <c r="K459" i="1"/>
  <c r="J459" i="1"/>
  <c r="I459" i="1"/>
  <c r="H459" i="1"/>
  <c r="M458" i="1"/>
  <c r="M462" i="1" s="1"/>
  <c r="L458" i="1"/>
  <c r="L462" i="1" s="1"/>
  <c r="K458" i="1"/>
  <c r="J458" i="1"/>
  <c r="I458" i="1"/>
  <c r="I462" i="1" s="1"/>
  <c r="H458" i="1"/>
  <c r="N458" i="1" s="1"/>
  <c r="O458" i="1" s="1"/>
  <c r="M451" i="1"/>
  <c r="L451" i="1"/>
  <c r="K451" i="1"/>
  <c r="J451" i="1"/>
  <c r="I451" i="1"/>
  <c r="H451" i="1"/>
  <c r="M450" i="1"/>
  <c r="L450" i="1"/>
  <c r="K450" i="1"/>
  <c r="J450" i="1"/>
  <c r="I450" i="1"/>
  <c r="H450" i="1"/>
  <c r="M447" i="1"/>
  <c r="L447" i="1"/>
  <c r="K447" i="1"/>
  <c r="J447" i="1"/>
  <c r="I447" i="1"/>
  <c r="H447" i="1"/>
  <c r="M444" i="1"/>
  <c r="M452" i="1" s="1"/>
  <c r="L444" i="1"/>
  <c r="L452" i="1" s="1"/>
  <c r="K444" i="1"/>
  <c r="J444" i="1"/>
  <c r="J452" i="1" s="1"/>
  <c r="I444" i="1"/>
  <c r="I452" i="1" s="1"/>
  <c r="H444" i="1"/>
  <c r="M437" i="1"/>
  <c r="L437" i="1"/>
  <c r="K437" i="1"/>
  <c r="J437" i="1"/>
  <c r="I437" i="1"/>
  <c r="H437" i="1"/>
  <c r="M436" i="1"/>
  <c r="L436" i="1"/>
  <c r="K436" i="1"/>
  <c r="J436" i="1"/>
  <c r="I436" i="1"/>
  <c r="H436" i="1"/>
  <c r="M434" i="1"/>
  <c r="M438" i="1" s="1"/>
  <c r="L434" i="1"/>
  <c r="K434" i="1"/>
  <c r="J434" i="1"/>
  <c r="J438" i="1" s="1"/>
  <c r="I434" i="1"/>
  <c r="I438" i="1" s="1"/>
  <c r="H434" i="1"/>
  <c r="M429" i="1"/>
  <c r="L429" i="1"/>
  <c r="K429" i="1"/>
  <c r="J429" i="1"/>
  <c r="I429" i="1"/>
  <c r="H429" i="1"/>
  <c r="M428" i="1"/>
  <c r="L428" i="1"/>
  <c r="K428" i="1"/>
  <c r="J428" i="1"/>
  <c r="I428" i="1"/>
  <c r="H428" i="1"/>
  <c r="M427" i="1"/>
  <c r="L427" i="1"/>
  <c r="K427" i="1"/>
  <c r="J427" i="1"/>
  <c r="I427" i="1"/>
  <c r="H427" i="1"/>
  <c r="M426" i="1"/>
  <c r="L426" i="1"/>
  <c r="K426" i="1"/>
  <c r="J426" i="1"/>
  <c r="I426" i="1"/>
  <c r="H426" i="1"/>
  <c r="M425" i="1"/>
  <c r="L425" i="1"/>
  <c r="K425" i="1"/>
  <c r="J425" i="1"/>
  <c r="I425" i="1"/>
  <c r="H425" i="1"/>
  <c r="M424" i="1"/>
  <c r="L424" i="1"/>
  <c r="K424" i="1"/>
  <c r="J424" i="1"/>
  <c r="I424" i="1"/>
  <c r="H424" i="1"/>
  <c r="M423" i="1"/>
  <c r="L423" i="1"/>
  <c r="K423" i="1"/>
  <c r="J423" i="1"/>
  <c r="I423" i="1"/>
  <c r="H423" i="1"/>
  <c r="M422" i="1"/>
  <c r="L422" i="1"/>
  <c r="K422" i="1"/>
  <c r="J422" i="1"/>
  <c r="I422" i="1"/>
  <c r="H422" i="1"/>
  <c r="M421" i="1"/>
  <c r="L421" i="1"/>
  <c r="K421" i="1"/>
  <c r="J421" i="1"/>
  <c r="I421" i="1"/>
  <c r="H421" i="1"/>
  <c r="M420" i="1"/>
  <c r="L420" i="1"/>
  <c r="K420" i="1"/>
  <c r="J420" i="1"/>
  <c r="I420" i="1"/>
  <c r="H420" i="1"/>
  <c r="M418" i="1"/>
  <c r="L418" i="1"/>
  <c r="K418" i="1"/>
  <c r="J418" i="1"/>
  <c r="I418" i="1"/>
  <c r="H418" i="1"/>
  <c r="M417" i="1"/>
  <c r="L417" i="1"/>
  <c r="K417" i="1"/>
  <c r="J417" i="1"/>
  <c r="I417" i="1"/>
  <c r="H417" i="1"/>
  <c r="M416" i="1"/>
  <c r="L416" i="1"/>
  <c r="K416" i="1"/>
  <c r="J416" i="1"/>
  <c r="I416" i="1"/>
  <c r="H416" i="1"/>
  <c r="M415" i="1"/>
  <c r="L415" i="1"/>
  <c r="K415" i="1"/>
  <c r="J415" i="1"/>
  <c r="I415" i="1"/>
  <c r="H415" i="1"/>
  <c r="M414" i="1"/>
  <c r="L414" i="1"/>
  <c r="K414" i="1"/>
  <c r="J414" i="1"/>
  <c r="I414" i="1"/>
  <c r="H414" i="1"/>
  <c r="M411" i="1"/>
  <c r="L411" i="1"/>
  <c r="K411" i="1"/>
  <c r="J411" i="1"/>
  <c r="I411" i="1"/>
  <c r="H411" i="1"/>
  <c r="M410" i="1"/>
  <c r="L410" i="1"/>
  <c r="K410" i="1"/>
  <c r="J410" i="1"/>
  <c r="I410" i="1"/>
  <c r="H410" i="1"/>
  <c r="M409" i="1"/>
  <c r="L409" i="1"/>
  <c r="K409" i="1"/>
  <c r="J409" i="1"/>
  <c r="I409" i="1"/>
  <c r="H409" i="1"/>
  <c r="M408" i="1"/>
  <c r="L408" i="1"/>
  <c r="K408" i="1"/>
  <c r="J408" i="1"/>
  <c r="I408" i="1"/>
  <c r="H408" i="1"/>
  <c r="M407" i="1"/>
  <c r="L407" i="1"/>
  <c r="K407" i="1"/>
  <c r="J407" i="1"/>
  <c r="I407" i="1"/>
  <c r="H407" i="1"/>
  <c r="M405" i="1"/>
  <c r="L405" i="1"/>
  <c r="K405" i="1"/>
  <c r="J405" i="1"/>
  <c r="I405" i="1"/>
  <c r="H405" i="1"/>
  <c r="M403" i="1"/>
  <c r="L403" i="1"/>
  <c r="K403" i="1"/>
  <c r="J403" i="1"/>
  <c r="I403" i="1"/>
  <c r="H403" i="1"/>
  <c r="M402" i="1"/>
  <c r="L402" i="1"/>
  <c r="K402" i="1"/>
  <c r="J402" i="1"/>
  <c r="I402" i="1"/>
  <c r="H402" i="1"/>
  <c r="M401" i="1"/>
  <c r="L401" i="1"/>
  <c r="K401" i="1"/>
  <c r="J401" i="1"/>
  <c r="I401" i="1"/>
  <c r="H401" i="1"/>
  <c r="M400" i="1"/>
  <c r="L400" i="1"/>
  <c r="K400" i="1"/>
  <c r="J400" i="1"/>
  <c r="I400" i="1"/>
  <c r="H400" i="1"/>
  <c r="M398" i="1"/>
  <c r="L398" i="1"/>
  <c r="K398" i="1"/>
  <c r="J398" i="1"/>
  <c r="I398" i="1"/>
  <c r="H398" i="1"/>
  <c r="M397" i="1"/>
  <c r="L397" i="1"/>
  <c r="K397" i="1"/>
  <c r="J397" i="1"/>
  <c r="I397" i="1"/>
  <c r="H397" i="1"/>
  <c r="K391" i="1"/>
  <c r="M390" i="1"/>
  <c r="L390" i="1"/>
  <c r="K390" i="1"/>
  <c r="J390" i="1"/>
  <c r="I390" i="1"/>
  <c r="H390" i="1"/>
  <c r="M389" i="1"/>
  <c r="L389" i="1"/>
  <c r="K389" i="1"/>
  <c r="J389" i="1"/>
  <c r="I389" i="1"/>
  <c r="H389" i="1"/>
  <c r="M388" i="1"/>
  <c r="L388" i="1"/>
  <c r="K388" i="1"/>
  <c r="J388" i="1"/>
  <c r="I388" i="1"/>
  <c r="H388" i="1"/>
  <c r="M387" i="1"/>
  <c r="L387" i="1"/>
  <c r="K387" i="1"/>
  <c r="J387" i="1"/>
  <c r="I387" i="1"/>
  <c r="H387" i="1"/>
  <c r="N387" i="1" s="1"/>
  <c r="O387" i="1" s="1"/>
  <c r="P387" i="1" s="1"/>
  <c r="M385" i="1"/>
  <c r="L385" i="1"/>
  <c r="K385" i="1"/>
  <c r="J385" i="1"/>
  <c r="I385" i="1"/>
  <c r="H385" i="1"/>
  <c r="M384" i="1"/>
  <c r="L384" i="1"/>
  <c r="K384" i="1"/>
  <c r="J384" i="1"/>
  <c r="I384" i="1"/>
  <c r="H384" i="1"/>
  <c r="N384" i="1" s="1"/>
  <c r="O384" i="1" s="1"/>
  <c r="P384" i="1" s="1"/>
  <c r="M383" i="1"/>
  <c r="L383" i="1"/>
  <c r="K383" i="1"/>
  <c r="J383" i="1"/>
  <c r="I383" i="1"/>
  <c r="H383" i="1"/>
  <c r="M380" i="1"/>
  <c r="L380" i="1"/>
  <c r="K380" i="1"/>
  <c r="J380" i="1"/>
  <c r="I380" i="1"/>
  <c r="H380" i="1"/>
  <c r="N380" i="1" s="1"/>
  <c r="O380" i="1" s="1"/>
  <c r="P380" i="1" s="1"/>
  <c r="M379" i="1"/>
  <c r="L379" i="1"/>
  <c r="K379" i="1"/>
  <c r="J379" i="1"/>
  <c r="I379" i="1"/>
  <c r="H379" i="1"/>
  <c r="M377" i="1"/>
  <c r="L377" i="1"/>
  <c r="K377" i="1"/>
  <c r="J377" i="1"/>
  <c r="I377" i="1"/>
  <c r="H377" i="1"/>
  <c r="N377" i="1" s="1"/>
  <c r="O377" i="1" s="1"/>
  <c r="P377" i="1" s="1"/>
  <c r="M376" i="1"/>
  <c r="L376" i="1"/>
  <c r="K376" i="1"/>
  <c r="J376" i="1"/>
  <c r="I376" i="1"/>
  <c r="H376" i="1"/>
  <c r="M375" i="1"/>
  <c r="L375" i="1"/>
  <c r="K375" i="1"/>
  <c r="J375" i="1"/>
  <c r="I375" i="1"/>
  <c r="H375" i="1"/>
  <c r="N375" i="1" s="1"/>
  <c r="O375" i="1" s="1"/>
  <c r="P375" i="1" s="1"/>
  <c r="M374" i="1"/>
  <c r="L374" i="1"/>
  <c r="K374" i="1"/>
  <c r="J374" i="1"/>
  <c r="I374" i="1"/>
  <c r="H374" i="1"/>
  <c r="M373" i="1"/>
  <c r="L373" i="1"/>
  <c r="K373" i="1"/>
  <c r="J373" i="1"/>
  <c r="I373" i="1"/>
  <c r="H373" i="1"/>
  <c r="N373" i="1" s="1"/>
  <c r="O373" i="1" s="1"/>
  <c r="P373" i="1" s="1"/>
  <c r="M372" i="1"/>
  <c r="L372" i="1"/>
  <c r="K372" i="1"/>
  <c r="J372" i="1"/>
  <c r="I372" i="1"/>
  <c r="H372" i="1"/>
  <c r="M371" i="1"/>
  <c r="L371" i="1"/>
  <c r="K371" i="1"/>
  <c r="J371" i="1"/>
  <c r="I371" i="1"/>
  <c r="H371" i="1"/>
  <c r="N371" i="1" s="1"/>
  <c r="O371" i="1" s="1"/>
  <c r="P371" i="1" s="1"/>
  <c r="M369" i="1"/>
  <c r="L369" i="1"/>
  <c r="K369" i="1"/>
  <c r="J369" i="1"/>
  <c r="I369" i="1"/>
  <c r="H369" i="1"/>
  <c r="M365" i="1"/>
  <c r="L365" i="1"/>
  <c r="K365" i="1"/>
  <c r="J365" i="1"/>
  <c r="I365" i="1"/>
  <c r="H365" i="1"/>
  <c r="N365" i="1" s="1"/>
  <c r="O365" i="1" s="1"/>
  <c r="P365" i="1" s="1"/>
  <c r="M364" i="1"/>
  <c r="L364" i="1"/>
  <c r="K364" i="1"/>
  <c r="J364" i="1"/>
  <c r="I364" i="1"/>
  <c r="H364" i="1"/>
  <c r="M363" i="1"/>
  <c r="L363" i="1"/>
  <c r="K363" i="1"/>
  <c r="J363" i="1"/>
  <c r="I363" i="1"/>
  <c r="H363" i="1"/>
  <c r="N363" i="1" s="1"/>
  <c r="O363" i="1" s="1"/>
  <c r="P363" i="1" s="1"/>
  <c r="M361" i="1"/>
  <c r="L361" i="1"/>
  <c r="K361" i="1"/>
  <c r="J361" i="1"/>
  <c r="I361" i="1"/>
  <c r="H361" i="1"/>
  <c r="M360" i="1"/>
  <c r="L360" i="1"/>
  <c r="K360" i="1"/>
  <c r="J360" i="1"/>
  <c r="I360" i="1"/>
  <c r="H360" i="1"/>
  <c r="N360" i="1" s="1"/>
  <c r="O360" i="1" s="1"/>
  <c r="P360" i="1" s="1"/>
  <c r="M357" i="1"/>
  <c r="L357" i="1"/>
  <c r="K357" i="1"/>
  <c r="J357" i="1"/>
  <c r="I357" i="1"/>
  <c r="H357" i="1"/>
  <c r="M355" i="1"/>
  <c r="L355" i="1"/>
  <c r="K355" i="1"/>
  <c r="J355" i="1"/>
  <c r="I355" i="1"/>
  <c r="H355" i="1"/>
  <c r="N355" i="1" s="1"/>
  <c r="O355" i="1" s="1"/>
  <c r="P355" i="1" s="1"/>
  <c r="M353" i="1"/>
  <c r="L353" i="1"/>
  <c r="K353" i="1"/>
  <c r="J353" i="1"/>
  <c r="I353" i="1"/>
  <c r="H353" i="1"/>
  <c r="M351" i="1"/>
  <c r="L351" i="1"/>
  <c r="K351" i="1"/>
  <c r="J351" i="1"/>
  <c r="I351" i="1"/>
  <c r="H351" i="1"/>
  <c r="N351" i="1" s="1"/>
  <c r="O351" i="1" s="1"/>
  <c r="P351" i="1" s="1"/>
  <c r="M350" i="1"/>
  <c r="L350" i="1"/>
  <c r="K350" i="1"/>
  <c r="J350" i="1"/>
  <c r="I350" i="1"/>
  <c r="H350" i="1"/>
  <c r="M349" i="1"/>
  <c r="L349" i="1"/>
  <c r="K349" i="1"/>
  <c r="J349" i="1"/>
  <c r="I349" i="1"/>
  <c r="H349" i="1"/>
  <c r="N349" i="1" s="1"/>
  <c r="O349" i="1" s="1"/>
  <c r="P349" i="1" s="1"/>
  <c r="M347" i="1"/>
  <c r="L347" i="1"/>
  <c r="K347" i="1"/>
  <c r="J347" i="1"/>
  <c r="I347" i="1"/>
  <c r="H347" i="1"/>
  <c r="M346" i="1"/>
  <c r="L346" i="1"/>
  <c r="K346" i="1"/>
  <c r="J346" i="1"/>
  <c r="I346" i="1"/>
  <c r="H346" i="1"/>
  <c r="N346" i="1" s="1"/>
  <c r="O346" i="1" s="1"/>
  <c r="P346" i="1" s="1"/>
  <c r="M345" i="1"/>
  <c r="L345" i="1"/>
  <c r="K345" i="1"/>
  <c r="J345" i="1"/>
  <c r="I345" i="1"/>
  <c r="H345" i="1"/>
  <c r="M343" i="1"/>
  <c r="L343" i="1"/>
  <c r="K343" i="1"/>
  <c r="J343" i="1"/>
  <c r="I343" i="1"/>
  <c r="H343" i="1"/>
  <c r="N343" i="1" s="1"/>
  <c r="O343" i="1" s="1"/>
  <c r="P343" i="1" s="1"/>
  <c r="M341" i="1"/>
  <c r="L341" i="1"/>
  <c r="K341" i="1"/>
  <c r="J341" i="1"/>
  <c r="I341" i="1"/>
  <c r="H341" i="1"/>
  <c r="M340" i="1"/>
  <c r="L340" i="1"/>
  <c r="K340" i="1"/>
  <c r="J340" i="1"/>
  <c r="I340" i="1"/>
  <c r="H340" i="1"/>
  <c r="N340" i="1" s="1"/>
  <c r="O340" i="1" s="1"/>
  <c r="P340" i="1" s="1"/>
  <c r="M338" i="1"/>
  <c r="L338" i="1"/>
  <c r="K338" i="1"/>
  <c r="J338" i="1"/>
  <c r="I338" i="1"/>
  <c r="H338" i="1"/>
  <c r="M336" i="1"/>
  <c r="L336" i="1"/>
  <c r="K336" i="1"/>
  <c r="J336" i="1"/>
  <c r="I336" i="1"/>
  <c r="H336" i="1"/>
  <c r="N336" i="1" s="1"/>
  <c r="O336" i="1" s="1"/>
  <c r="P336" i="1" s="1"/>
  <c r="M333" i="1"/>
  <c r="L333" i="1"/>
  <c r="K333" i="1"/>
  <c r="J333" i="1"/>
  <c r="I333" i="1"/>
  <c r="H333" i="1"/>
  <c r="M332" i="1"/>
  <c r="L332" i="1"/>
  <c r="K332" i="1"/>
  <c r="J332" i="1"/>
  <c r="I332" i="1"/>
  <c r="H332" i="1"/>
  <c r="N332" i="1" s="1"/>
  <c r="O332" i="1" s="1"/>
  <c r="P332" i="1" s="1"/>
  <c r="M330" i="1"/>
  <c r="L330" i="1"/>
  <c r="K330" i="1"/>
  <c r="J330" i="1"/>
  <c r="I330" i="1"/>
  <c r="H330" i="1"/>
  <c r="M329" i="1"/>
  <c r="L329" i="1"/>
  <c r="K329" i="1"/>
  <c r="J329" i="1"/>
  <c r="I329" i="1"/>
  <c r="H329" i="1"/>
  <c r="N329" i="1" s="1"/>
  <c r="O329" i="1" s="1"/>
  <c r="P329" i="1" s="1"/>
  <c r="M327" i="1"/>
  <c r="L327" i="1"/>
  <c r="K327" i="1"/>
  <c r="J327" i="1"/>
  <c r="I327" i="1"/>
  <c r="H327" i="1"/>
  <c r="M326" i="1"/>
  <c r="L326" i="1"/>
  <c r="K326" i="1"/>
  <c r="J326" i="1"/>
  <c r="I326" i="1"/>
  <c r="H326" i="1"/>
  <c r="N326" i="1" s="1"/>
  <c r="O326" i="1" s="1"/>
  <c r="P326" i="1" s="1"/>
  <c r="M325" i="1"/>
  <c r="L325" i="1"/>
  <c r="K325" i="1"/>
  <c r="J325" i="1"/>
  <c r="I325" i="1"/>
  <c r="H325" i="1"/>
  <c r="M322" i="1"/>
  <c r="L322" i="1"/>
  <c r="K322" i="1"/>
  <c r="J322" i="1"/>
  <c r="I322" i="1"/>
  <c r="H322" i="1"/>
  <c r="N322" i="1" s="1"/>
  <c r="O322" i="1" s="1"/>
  <c r="P322" i="1" s="1"/>
  <c r="M321" i="1"/>
  <c r="L321" i="1"/>
  <c r="K321" i="1"/>
  <c r="J321" i="1"/>
  <c r="I321" i="1"/>
  <c r="H321" i="1"/>
  <c r="M320" i="1"/>
  <c r="L320" i="1"/>
  <c r="K320" i="1"/>
  <c r="J320" i="1"/>
  <c r="I320" i="1"/>
  <c r="H320" i="1"/>
  <c r="N320" i="1" s="1"/>
  <c r="O320" i="1" s="1"/>
  <c r="P320" i="1" s="1"/>
  <c r="M318" i="1"/>
  <c r="L318" i="1"/>
  <c r="K318" i="1"/>
  <c r="J318" i="1"/>
  <c r="I318" i="1"/>
  <c r="H318" i="1"/>
  <c r="M317" i="1"/>
  <c r="L317" i="1"/>
  <c r="K317" i="1"/>
  <c r="J317" i="1"/>
  <c r="I317" i="1"/>
  <c r="H317" i="1"/>
  <c r="N317" i="1" s="1"/>
  <c r="O317" i="1" s="1"/>
  <c r="P317" i="1" s="1"/>
  <c r="M316" i="1"/>
  <c r="L316" i="1"/>
  <c r="K316" i="1"/>
  <c r="J316" i="1"/>
  <c r="I316" i="1"/>
  <c r="H316" i="1"/>
  <c r="M315" i="1"/>
  <c r="L315" i="1"/>
  <c r="K315" i="1"/>
  <c r="J315" i="1"/>
  <c r="I315" i="1"/>
  <c r="H315" i="1"/>
  <c r="N315" i="1" s="1"/>
  <c r="O315" i="1" s="1"/>
  <c r="P315" i="1" s="1"/>
  <c r="M314" i="1"/>
  <c r="L314" i="1"/>
  <c r="K314" i="1"/>
  <c r="J314" i="1"/>
  <c r="J391" i="1" s="1"/>
  <c r="I314" i="1"/>
  <c r="H314" i="1"/>
  <c r="M307" i="1"/>
  <c r="L307" i="1"/>
  <c r="K307" i="1"/>
  <c r="J307" i="1"/>
  <c r="I307" i="1"/>
  <c r="H307" i="1"/>
  <c r="N307" i="1" s="1"/>
  <c r="O307" i="1" s="1"/>
  <c r="P307" i="1" s="1"/>
  <c r="M304" i="1"/>
  <c r="L304" i="1"/>
  <c r="K304" i="1"/>
  <c r="J304" i="1"/>
  <c r="I304" i="1"/>
  <c r="H304" i="1"/>
  <c r="M303" i="1"/>
  <c r="L303" i="1"/>
  <c r="K303" i="1"/>
  <c r="J303" i="1"/>
  <c r="I303" i="1"/>
  <c r="H303" i="1"/>
  <c r="N303" i="1" s="1"/>
  <c r="O303" i="1" s="1"/>
  <c r="P303" i="1" s="1"/>
  <c r="M302" i="1"/>
  <c r="L302" i="1"/>
  <c r="K302" i="1"/>
  <c r="J302" i="1"/>
  <c r="I302" i="1"/>
  <c r="H302" i="1"/>
  <c r="M301" i="1"/>
  <c r="L301" i="1"/>
  <c r="K301" i="1"/>
  <c r="J301" i="1"/>
  <c r="I301" i="1"/>
  <c r="H301" i="1"/>
  <c r="N301" i="1" s="1"/>
  <c r="O301" i="1" s="1"/>
  <c r="P301" i="1" s="1"/>
  <c r="M300" i="1"/>
  <c r="L300" i="1"/>
  <c r="K300" i="1"/>
  <c r="J300" i="1"/>
  <c r="I300" i="1"/>
  <c r="H300" i="1"/>
  <c r="M299" i="1"/>
  <c r="L299" i="1"/>
  <c r="K299" i="1"/>
  <c r="J299" i="1"/>
  <c r="I299" i="1"/>
  <c r="H299" i="1"/>
  <c r="N299" i="1" s="1"/>
  <c r="O299" i="1" s="1"/>
  <c r="P299" i="1" s="1"/>
  <c r="M298" i="1"/>
  <c r="L298" i="1"/>
  <c r="K298" i="1"/>
  <c r="J298" i="1"/>
  <c r="I298" i="1"/>
  <c r="H298" i="1"/>
  <c r="M297" i="1"/>
  <c r="L297" i="1"/>
  <c r="K297" i="1"/>
  <c r="J297" i="1"/>
  <c r="I297" i="1"/>
  <c r="H297" i="1"/>
  <c r="N297" i="1" s="1"/>
  <c r="O297" i="1" s="1"/>
  <c r="P297" i="1" s="1"/>
  <c r="M295" i="1"/>
  <c r="L295" i="1"/>
  <c r="K295" i="1"/>
  <c r="J295" i="1"/>
  <c r="I295" i="1"/>
  <c r="H295" i="1"/>
  <c r="M294" i="1"/>
  <c r="L294" i="1"/>
  <c r="K294" i="1"/>
  <c r="J294" i="1"/>
  <c r="I294" i="1"/>
  <c r="H294" i="1"/>
  <c r="N294" i="1" s="1"/>
  <c r="O294" i="1" s="1"/>
  <c r="P294" i="1" s="1"/>
  <c r="M293" i="1"/>
  <c r="L293" i="1"/>
  <c r="K293" i="1"/>
  <c r="J293" i="1"/>
  <c r="I293" i="1"/>
  <c r="H293" i="1"/>
  <c r="M292" i="1"/>
  <c r="L292" i="1"/>
  <c r="K292" i="1"/>
  <c r="J292" i="1"/>
  <c r="I292" i="1"/>
  <c r="H292" i="1"/>
  <c r="N292" i="1" s="1"/>
  <c r="O292" i="1" s="1"/>
  <c r="P292" i="1" s="1"/>
  <c r="M291" i="1"/>
  <c r="L291" i="1"/>
  <c r="K291" i="1"/>
  <c r="J291" i="1"/>
  <c r="I291" i="1"/>
  <c r="H291" i="1"/>
  <c r="M290" i="1"/>
  <c r="L290" i="1"/>
  <c r="K290" i="1"/>
  <c r="J290" i="1"/>
  <c r="I290" i="1"/>
  <c r="H290" i="1"/>
  <c r="N290" i="1" s="1"/>
  <c r="O290" i="1" s="1"/>
  <c r="P290" i="1" s="1"/>
  <c r="M289" i="1"/>
  <c r="L289" i="1"/>
  <c r="K289" i="1"/>
  <c r="J289" i="1"/>
  <c r="I289" i="1"/>
  <c r="H289" i="1"/>
  <c r="M288" i="1"/>
  <c r="L288" i="1"/>
  <c r="K288" i="1"/>
  <c r="J288" i="1"/>
  <c r="I288" i="1"/>
  <c r="H288" i="1"/>
  <c r="N288" i="1" s="1"/>
  <c r="O288" i="1" s="1"/>
  <c r="P288" i="1" s="1"/>
  <c r="M285" i="1"/>
  <c r="L285" i="1"/>
  <c r="K285" i="1"/>
  <c r="J285" i="1"/>
  <c r="I285" i="1"/>
  <c r="H285" i="1"/>
  <c r="M284" i="1"/>
  <c r="L284" i="1"/>
  <c r="K284" i="1"/>
  <c r="J284" i="1"/>
  <c r="I284" i="1"/>
  <c r="H284" i="1"/>
  <c r="N284" i="1" s="1"/>
  <c r="O284" i="1" s="1"/>
  <c r="P284" i="1" s="1"/>
  <c r="M283" i="1"/>
  <c r="L283" i="1"/>
  <c r="K283" i="1"/>
  <c r="J283" i="1"/>
  <c r="I283" i="1"/>
  <c r="H283" i="1"/>
  <c r="M282" i="1"/>
  <c r="L282" i="1"/>
  <c r="K282" i="1"/>
  <c r="J282" i="1"/>
  <c r="I282" i="1"/>
  <c r="H282" i="1"/>
  <c r="N282" i="1" s="1"/>
  <c r="O282" i="1" s="1"/>
  <c r="P282" i="1" s="1"/>
  <c r="M279" i="1"/>
  <c r="L279" i="1"/>
  <c r="K279" i="1"/>
  <c r="J279" i="1"/>
  <c r="I279" i="1"/>
  <c r="H279" i="1"/>
  <c r="M278" i="1"/>
  <c r="L278" i="1"/>
  <c r="K278" i="1"/>
  <c r="J278" i="1"/>
  <c r="I278" i="1"/>
  <c r="H278" i="1"/>
  <c r="N278" i="1" s="1"/>
  <c r="O278" i="1" s="1"/>
  <c r="P278" i="1" s="1"/>
  <c r="M276" i="1"/>
  <c r="L276" i="1"/>
  <c r="K276" i="1"/>
  <c r="J276" i="1"/>
  <c r="I276" i="1"/>
  <c r="H276" i="1"/>
  <c r="M274" i="1"/>
  <c r="L274" i="1"/>
  <c r="K274" i="1"/>
  <c r="J274" i="1"/>
  <c r="I274" i="1"/>
  <c r="H274" i="1"/>
  <c r="M273" i="1"/>
  <c r="L273" i="1"/>
  <c r="K273" i="1"/>
  <c r="J273" i="1"/>
  <c r="I273" i="1"/>
  <c r="H273" i="1"/>
  <c r="M271" i="1"/>
  <c r="L271" i="1"/>
  <c r="K271" i="1"/>
  <c r="J271" i="1"/>
  <c r="I271" i="1"/>
  <c r="H271" i="1"/>
  <c r="N271" i="1" s="1"/>
  <c r="O271" i="1" s="1"/>
  <c r="P271" i="1" s="1"/>
  <c r="M270" i="1"/>
  <c r="L270" i="1"/>
  <c r="K270" i="1"/>
  <c r="J270" i="1"/>
  <c r="I270" i="1"/>
  <c r="H270" i="1"/>
  <c r="M269" i="1"/>
  <c r="L269" i="1"/>
  <c r="K269" i="1"/>
  <c r="J269" i="1"/>
  <c r="I269" i="1"/>
  <c r="H269" i="1"/>
  <c r="M268" i="1"/>
  <c r="L268" i="1"/>
  <c r="K268" i="1"/>
  <c r="J268" i="1"/>
  <c r="I268" i="1"/>
  <c r="H268" i="1"/>
  <c r="M265" i="1"/>
  <c r="L265" i="1"/>
  <c r="K265" i="1"/>
  <c r="J265" i="1"/>
  <c r="I265" i="1"/>
  <c r="H265" i="1"/>
  <c r="N265" i="1" s="1"/>
  <c r="O265" i="1" s="1"/>
  <c r="P265" i="1" s="1"/>
  <c r="M264" i="1"/>
  <c r="L264" i="1"/>
  <c r="K264" i="1"/>
  <c r="J264" i="1"/>
  <c r="I264" i="1"/>
  <c r="H264" i="1"/>
  <c r="M262" i="1"/>
  <c r="L262" i="1"/>
  <c r="K262" i="1"/>
  <c r="J262" i="1"/>
  <c r="I262" i="1"/>
  <c r="H262" i="1"/>
  <c r="M261" i="1"/>
  <c r="L261" i="1"/>
  <c r="K261" i="1"/>
  <c r="J261" i="1"/>
  <c r="I261" i="1"/>
  <c r="H261" i="1"/>
  <c r="M260" i="1"/>
  <c r="L260" i="1"/>
  <c r="K260" i="1"/>
  <c r="J260" i="1"/>
  <c r="I260" i="1"/>
  <c r="H260" i="1"/>
  <c r="N260" i="1" s="1"/>
  <c r="O260" i="1" s="1"/>
  <c r="P260" i="1" s="1"/>
  <c r="M259" i="1"/>
  <c r="L259" i="1"/>
  <c r="K259" i="1"/>
  <c r="J259" i="1"/>
  <c r="I259" i="1"/>
  <c r="H259" i="1"/>
  <c r="M256" i="1"/>
  <c r="L256" i="1"/>
  <c r="K256" i="1"/>
  <c r="J256" i="1"/>
  <c r="I256" i="1"/>
  <c r="H256" i="1"/>
  <c r="M255" i="1"/>
  <c r="L255" i="1"/>
  <c r="K255" i="1"/>
  <c r="J255" i="1"/>
  <c r="I255" i="1"/>
  <c r="H255" i="1"/>
  <c r="M254" i="1"/>
  <c r="L254" i="1"/>
  <c r="K254" i="1"/>
  <c r="J254" i="1"/>
  <c r="I254" i="1"/>
  <c r="H254" i="1"/>
  <c r="N254" i="1" s="1"/>
  <c r="O254" i="1" s="1"/>
  <c r="P254" i="1" s="1"/>
  <c r="M253" i="1"/>
  <c r="L253" i="1"/>
  <c r="K253" i="1"/>
  <c r="J253" i="1"/>
  <c r="I253" i="1"/>
  <c r="H253" i="1"/>
  <c r="M252" i="1"/>
  <c r="L252" i="1"/>
  <c r="K252" i="1"/>
  <c r="J252" i="1"/>
  <c r="I252" i="1"/>
  <c r="H252" i="1"/>
  <c r="N252" i="1" s="1"/>
  <c r="O252" i="1" s="1"/>
  <c r="P252" i="1" s="1"/>
  <c r="M250" i="1"/>
  <c r="L250" i="1"/>
  <c r="K250" i="1"/>
  <c r="J250" i="1"/>
  <c r="I250" i="1"/>
  <c r="H250" i="1"/>
  <c r="M247" i="1"/>
  <c r="L247" i="1"/>
  <c r="K247" i="1"/>
  <c r="J247" i="1"/>
  <c r="I247" i="1"/>
  <c r="H247" i="1"/>
  <c r="N247" i="1" s="1"/>
  <c r="O247" i="1" s="1"/>
  <c r="P247" i="1" s="1"/>
  <c r="M246" i="1"/>
  <c r="L246" i="1"/>
  <c r="K246" i="1"/>
  <c r="J246" i="1"/>
  <c r="I246" i="1"/>
  <c r="H246" i="1"/>
  <c r="M244" i="1"/>
  <c r="L244" i="1"/>
  <c r="K244" i="1"/>
  <c r="J244" i="1"/>
  <c r="I244" i="1"/>
  <c r="H244" i="1"/>
  <c r="N244" i="1" s="1"/>
  <c r="O244" i="1" s="1"/>
  <c r="P244" i="1" s="1"/>
  <c r="M242" i="1"/>
  <c r="L242" i="1"/>
  <c r="K242" i="1"/>
  <c r="J242" i="1"/>
  <c r="I242" i="1"/>
  <c r="H242" i="1"/>
  <c r="M240" i="1"/>
  <c r="L240" i="1"/>
  <c r="K240" i="1"/>
  <c r="J240" i="1"/>
  <c r="I240" i="1"/>
  <c r="H240" i="1"/>
  <c r="N240" i="1" s="1"/>
  <c r="O240" i="1" s="1"/>
  <c r="P240" i="1" s="1"/>
  <c r="M239" i="1"/>
  <c r="L239" i="1"/>
  <c r="K239" i="1"/>
  <c r="J239" i="1"/>
  <c r="I239" i="1"/>
  <c r="H239" i="1"/>
  <c r="M237" i="1"/>
  <c r="L237" i="1"/>
  <c r="K237" i="1"/>
  <c r="J237" i="1"/>
  <c r="I237" i="1"/>
  <c r="H237" i="1"/>
  <c r="M234" i="1"/>
  <c r="L234" i="1"/>
  <c r="K234" i="1"/>
  <c r="J234" i="1"/>
  <c r="I234" i="1"/>
  <c r="H234" i="1"/>
  <c r="M233" i="1"/>
  <c r="L233" i="1"/>
  <c r="K233" i="1"/>
  <c r="J233" i="1"/>
  <c r="I233" i="1"/>
  <c r="H233" i="1"/>
  <c r="M231" i="1"/>
  <c r="L231" i="1"/>
  <c r="K231" i="1"/>
  <c r="J231" i="1"/>
  <c r="I231" i="1"/>
  <c r="H231" i="1"/>
  <c r="M228" i="1"/>
  <c r="L228" i="1"/>
  <c r="K228" i="1"/>
  <c r="J228" i="1"/>
  <c r="I228" i="1"/>
  <c r="H228" i="1"/>
  <c r="M227" i="1"/>
  <c r="L227" i="1"/>
  <c r="K227" i="1"/>
  <c r="J227" i="1"/>
  <c r="I227" i="1"/>
  <c r="H227" i="1"/>
  <c r="M226" i="1"/>
  <c r="L226" i="1"/>
  <c r="K226" i="1"/>
  <c r="J226" i="1"/>
  <c r="I226" i="1"/>
  <c r="H226" i="1"/>
  <c r="M225" i="1"/>
  <c r="L225" i="1"/>
  <c r="K225" i="1"/>
  <c r="J225" i="1"/>
  <c r="I225" i="1"/>
  <c r="H225" i="1"/>
  <c r="M224" i="1"/>
  <c r="L224" i="1"/>
  <c r="K224" i="1"/>
  <c r="J224" i="1"/>
  <c r="I224" i="1"/>
  <c r="H224" i="1"/>
  <c r="M223" i="1"/>
  <c r="L223" i="1"/>
  <c r="K223" i="1"/>
  <c r="J223" i="1"/>
  <c r="I223" i="1"/>
  <c r="H223" i="1"/>
  <c r="M221" i="1"/>
  <c r="L221" i="1"/>
  <c r="K221" i="1"/>
  <c r="J221" i="1"/>
  <c r="I221" i="1"/>
  <c r="H221" i="1"/>
  <c r="M220" i="1"/>
  <c r="L220" i="1"/>
  <c r="K220" i="1"/>
  <c r="J220" i="1"/>
  <c r="I220" i="1"/>
  <c r="H220" i="1"/>
  <c r="M219" i="1"/>
  <c r="L219" i="1"/>
  <c r="K219" i="1"/>
  <c r="J219" i="1"/>
  <c r="I219" i="1"/>
  <c r="H219" i="1"/>
  <c r="M217" i="1"/>
  <c r="L217" i="1"/>
  <c r="K217" i="1"/>
  <c r="J217" i="1"/>
  <c r="I217" i="1"/>
  <c r="H217" i="1"/>
  <c r="M216" i="1"/>
  <c r="L216" i="1"/>
  <c r="K216" i="1"/>
  <c r="J216" i="1"/>
  <c r="I216" i="1"/>
  <c r="H216" i="1"/>
  <c r="M215" i="1"/>
  <c r="L215" i="1"/>
  <c r="K215" i="1"/>
  <c r="J215" i="1"/>
  <c r="I215" i="1"/>
  <c r="H215" i="1"/>
  <c r="M213" i="1"/>
  <c r="L213" i="1"/>
  <c r="K213" i="1"/>
  <c r="J213" i="1"/>
  <c r="I213" i="1"/>
  <c r="H213" i="1"/>
  <c r="M212" i="1"/>
  <c r="L212" i="1"/>
  <c r="K212" i="1"/>
  <c r="J212" i="1"/>
  <c r="I212" i="1"/>
  <c r="H212" i="1"/>
  <c r="M211" i="1"/>
  <c r="L211" i="1"/>
  <c r="K211" i="1"/>
  <c r="J211" i="1"/>
  <c r="I211" i="1"/>
  <c r="H211" i="1"/>
  <c r="M209" i="1"/>
  <c r="L209" i="1"/>
  <c r="K209" i="1"/>
  <c r="J209" i="1"/>
  <c r="I209" i="1"/>
  <c r="H209" i="1"/>
  <c r="M208" i="1"/>
  <c r="L208" i="1"/>
  <c r="K208" i="1"/>
  <c r="J208" i="1"/>
  <c r="I208" i="1"/>
  <c r="H208" i="1"/>
  <c r="M207" i="1"/>
  <c r="L207" i="1"/>
  <c r="K207" i="1"/>
  <c r="J207" i="1"/>
  <c r="I207" i="1"/>
  <c r="H207" i="1"/>
  <c r="M206" i="1"/>
  <c r="L206" i="1"/>
  <c r="K206" i="1"/>
  <c r="J206" i="1"/>
  <c r="I206" i="1"/>
  <c r="H206" i="1"/>
  <c r="M205" i="1"/>
  <c r="M308" i="1" s="1"/>
  <c r="L205" i="1"/>
  <c r="K205" i="1"/>
  <c r="J205" i="1"/>
  <c r="J308" i="1" s="1"/>
  <c r="I205" i="1"/>
  <c r="I308" i="1" s="1"/>
  <c r="H205" i="1"/>
  <c r="M198" i="1"/>
  <c r="L198" i="1"/>
  <c r="K198" i="1"/>
  <c r="J198" i="1"/>
  <c r="I198" i="1"/>
  <c r="H198" i="1"/>
  <c r="M197" i="1"/>
  <c r="L197" i="1"/>
  <c r="K197" i="1"/>
  <c r="J197" i="1"/>
  <c r="I197" i="1"/>
  <c r="H197" i="1"/>
  <c r="M196" i="1"/>
  <c r="L196" i="1"/>
  <c r="K196" i="1"/>
  <c r="J196" i="1"/>
  <c r="I196" i="1"/>
  <c r="H196" i="1"/>
  <c r="M195" i="1"/>
  <c r="L195" i="1"/>
  <c r="K195" i="1"/>
  <c r="J195" i="1"/>
  <c r="I195" i="1"/>
  <c r="H195" i="1"/>
  <c r="M192" i="1"/>
  <c r="L192" i="1"/>
  <c r="K192" i="1"/>
  <c r="J192" i="1"/>
  <c r="I192" i="1"/>
  <c r="H192" i="1"/>
  <c r="M191" i="1"/>
  <c r="L191" i="1"/>
  <c r="K191" i="1"/>
  <c r="J191" i="1"/>
  <c r="I191" i="1"/>
  <c r="H191" i="1"/>
  <c r="M190" i="1"/>
  <c r="L190" i="1"/>
  <c r="K190" i="1"/>
  <c r="J190" i="1"/>
  <c r="I190" i="1"/>
  <c r="H190" i="1"/>
  <c r="M189" i="1"/>
  <c r="L189" i="1"/>
  <c r="K189" i="1"/>
  <c r="J189" i="1"/>
  <c r="I189" i="1"/>
  <c r="H189" i="1"/>
  <c r="M188" i="1"/>
  <c r="L188" i="1"/>
  <c r="K188" i="1"/>
  <c r="J188" i="1"/>
  <c r="I188" i="1"/>
  <c r="H188" i="1"/>
  <c r="M187" i="1"/>
  <c r="L187" i="1"/>
  <c r="K187" i="1"/>
  <c r="J187" i="1"/>
  <c r="I187" i="1"/>
  <c r="H187" i="1"/>
  <c r="M186" i="1"/>
  <c r="L186" i="1"/>
  <c r="K186" i="1"/>
  <c r="J186" i="1"/>
  <c r="I186" i="1"/>
  <c r="H186" i="1"/>
  <c r="M184" i="1"/>
  <c r="L184" i="1"/>
  <c r="K184" i="1"/>
  <c r="J184" i="1"/>
  <c r="I184" i="1"/>
  <c r="H184" i="1"/>
  <c r="M183" i="1"/>
  <c r="L183" i="1"/>
  <c r="K183" i="1"/>
  <c r="J183" i="1"/>
  <c r="I183" i="1"/>
  <c r="H183" i="1"/>
  <c r="M181" i="1"/>
  <c r="L181" i="1"/>
  <c r="K181" i="1"/>
  <c r="J181" i="1"/>
  <c r="I181" i="1"/>
  <c r="H181" i="1"/>
  <c r="M179" i="1"/>
  <c r="L179" i="1"/>
  <c r="K179" i="1"/>
  <c r="J179" i="1"/>
  <c r="I179" i="1"/>
  <c r="H179" i="1"/>
  <c r="M178" i="1"/>
  <c r="L178" i="1"/>
  <c r="K178" i="1"/>
  <c r="J178" i="1"/>
  <c r="I178" i="1"/>
  <c r="H178" i="1"/>
  <c r="M176" i="1"/>
  <c r="L176" i="1"/>
  <c r="K176" i="1"/>
  <c r="J176" i="1"/>
  <c r="I176" i="1"/>
  <c r="H176" i="1"/>
  <c r="M175" i="1"/>
  <c r="L175" i="1"/>
  <c r="K175" i="1"/>
  <c r="J175" i="1"/>
  <c r="I175" i="1"/>
  <c r="H175" i="1"/>
  <c r="M173" i="1"/>
  <c r="L173" i="1"/>
  <c r="K173" i="1"/>
  <c r="J173" i="1"/>
  <c r="I173" i="1"/>
  <c r="H173" i="1"/>
  <c r="M172" i="1"/>
  <c r="L172" i="1"/>
  <c r="K172" i="1"/>
  <c r="J172" i="1"/>
  <c r="I172" i="1"/>
  <c r="H172" i="1"/>
  <c r="M171" i="1"/>
  <c r="L171" i="1"/>
  <c r="K171" i="1"/>
  <c r="J171" i="1"/>
  <c r="I171" i="1"/>
  <c r="H171" i="1"/>
  <c r="M170" i="1"/>
  <c r="L170" i="1"/>
  <c r="K170" i="1"/>
  <c r="J170" i="1"/>
  <c r="I170" i="1"/>
  <c r="H170" i="1"/>
  <c r="M169" i="1"/>
  <c r="L169" i="1"/>
  <c r="K169" i="1"/>
  <c r="J169" i="1"/>
  <c r="I169" i="1"/>
  <c r="H169" i="1"/>
  <c r="M166" i="1"/>
  <c r="L166" i="1"/>
  <c r="K166" i="1"/>
  <c r="J166" i="1"/>
  <c r="I166" i="1"/>
  <c r="H166" i="1"/>
  <c r="M165" i="1"/>
  <c r="L165" i="1"/>
  <c r="K165" i="1"/>
  <c r="J165" i="1"/>
  <c r="I165" i="1"/>
  <c r="H165" i="1"/>
  <c r="M164" i="1"/>
  <c r="L164" i="1"/>
  <c r="K164" i="1"/>
  <c r="J164" i="1"/>
  <c r="I164" i="1"/>
  <c r="H164" i="1"/>
  <c r="M163" i="1"/>
  <c r="L163" i="1"/>
  <c r="K163" i="1"/>
  <c r="J163" i="1"/>
  <c r="I163" i="1"/>
  <c r="H163" i="1"/>
  <c r="M162" i="1"/>
  <c r="M199" i="1" s="1"/>
  <c r="L162" i="1"/>
  <c r="K162" i="1"/>
  <c r="J162" i="1"/>
  <c r="J199" i="1" s="1"/>
  <c r="I162" i="1"/>
  <c r="I199" i="1" s="1"/>
  <c r="H162" i="1"/>
  <c r="F156" i="1"/>
  <c r="H156" i="1" s="1"/>
  <c r="N156" i="1" s="1"/>
  <c r="O156" i="1" s="1"/>
  <c r="P156" i="1" s="1"/>
  <c r="M154" i="1"/>
  <c r="L154" i="1"/>
  <c r="K154" i="1"/>
  <c r="J154" i="1"/>
  <c r="I154" i="1"/>
  <c r="H154" i="1"/>
  <c r="M152" i="1"/>
  <c r="L152" i="1"/>
  <c r="K152" i="1"/>
  <c r="J152" i="1"/>
  <c r="I152" i="1"/>
  <c r="H152" i="1"/>
  <c r="M151" i="1"/>
  <c r="L151" i="1"/>
  <c r="K151" i="1"/>
  <c r="J151" i="1"/>
  <c r="I151" i="1"/>
  <c r="H151" i="1"/>
  <c r="M150" i="1"/>
  <c r="L150" i="1"/>
  <c r="K150" i="1"/>
  <c r="J150" i="1"/>
  <c r="I150" i="1"/>
  <c r="H150" i="1"/>
  <c r="M149" i="1"/>
  <c r="L149" i="1"/>
  <c r="K149" i="1"/>
  <c r="J149" i="1"/>
  <c r="I149" i="1"/>
  <c r="H149" i="1"/>
  <c r="M146" i="1"/>
  <c r="L146" i="1"/>
  <c r="K146" i="1"/>
  <c r="J146" i="1"/>
  <c r="I146" i="1"/>
  <c r="H146" i="1"/>
  <c r="M144" i="1"/>
  <c r="L144" i="1"/>
  <c r="K144" i="1"/>
  <c r="J144" i="1"/>
  <c r="I144" i="1"/>
  <c r="H144" i="1"/>
  <c r="M143" i="1"/>
  <c r="L143" i="1"/>
  <c r="K143" i="1"/>
  <c r="J143" i="1"/>
  <c r="I143" i="1"/>
  <c r="H143" i="1"/>
  <c r="M142" i="1"/>
  <c r="L142" i="1"/>
  <c r="K142" i="1"/>
  <c r="J142" i="1"/>
  <c r="I142" i="1"/>
  <c r="H142" i="1"/>
  <c r="M141" i="1"/>
  <c r="L141" i="1"/>
  <c r="K141" i="1"/>
  <c r="J141" i="1"/>
  <c r="I141" i="1"/>
  <c r="H141" i="1"/>
  <c r="M140" i="1"/>
  <c r="L140" i="1"/>
  <c r="K140" i="1"/>
  <c r="J140" i="1"/>
  <c r="I140" i="1"/>
  <c r="H140" i="1"/>
  <c r="M138" i="1"/>
  <c r="L138" i="1"/>
  <c r="K138" i="1"/>
  <c r="J138" i="1"/>
  <c r="I138" i="1"/>
  <c r="H138" i="1"/>
  <c r="M137" i="1"/>
  <c r="L137" i="1"/>
  <c r="K137" i="1"/>
  <c r="J137" i="1"/>
  <c r="I137" i="1"/>
  <c r="H137" i="1"/>
  <c r="M136" i="1"/>
  <c r="L136" i="1"/>
  <c r="K136" i="1"/>
  <c r="J136" i="1"/>
  <c r="I136" i="1"/>
  <c r="H136" i="1"/>
  <c r="M134" i="1"/>
  <c r="L134" i="1"/>
  <c r="K134" i="1"/>
  <c r="J134" i="1"/>
  <c r="I134" i="1"/>
  <c r="H134" i="1"/>
  <c r="M131" i="1"/>
  <c r="L131" i="1"/>
  <c r="K131" i="1"/>
  <c r="J131" i="1"/>
  <c r="I131" i="1"/>
  <c r="H131" i="1"/>
  <c r="M130" i="1"/>
  <c r="L130" i="1"/>
  <c r="K130" i="1"/>
  <c r="J130" i="1"/>
  <c r="I130" i="1"/>
  <c r="H130" i="1"/>
  <c r="M129" i="1"/>
  <c r="L129" i="1"/>
  <c r="K129" i="1"/>
  <c r="J129" i="1"/>
  <c r="I129" i="1"/>
  <c r="H129" i="1"/>
  <c r="M127" i="1"/>
  <c r="L127" i="1"/>
  <c r="K127" i="1"/>
  <c r="J127" i="1"/>
  <c r="I127" i="1"/>
  <c r="H127" i="1"/>
  <c r="M125" i="1"/>
  <c r="L125" i="1"/>
  <c r="K125" i="1"/>
  <c r="J125" i="1"/>
  <c r="I125" i="1"/>
  <c r="H125" i="1"/>
  <c r="M123" i="1"/>
  <c r="L123" i="1"/>
  <c r="K123" i="1"/>
  <c r="J123" i="1"/>
  <c r="I123" i="1"/>
  <c r="H123" i="1"/>
  <c r="M122" i="1"/>
  <c r="L122" i="1"/>
  <c r="K122" i="1"/>
  <c r="J122" i="1"/>
  <c r="I122" i="1"/>
  <c r="H122" i="1"/>
  <c r="M119" i="1"/>
  <c r="L119" i="1"/>
  <c r="K119" i="1"/>
  <c r="J119" i="1"/>
  <c r="I119" i="1"/>
  <c r="H119" i="1"/>
  <c r="M117" i="1"/>
  <c r="L117" i="1"/>
  <c r="K117" i="1"/>
  <c r="J117" i="1"/>
  <c r="I117" i="1"/>
  <c r="H117" i="1"/>
  <c r="M114" i="1"/>
  <c r="L114" i="1"/>
  <c r="K114" i="1"/>
  <c r="J114" i="1"/>
  <c r="I114" i="1"/>
  <c r="H114" i="1"/>
  <c r="M113" i="1"/>
  <c r="L113" i="1"/>
  <c r="K113" i="1"/>
  <c r="J113" i="1"/>
  <c r="I113" i="1"/>
  <c r="H113" i="1"/>
  <c r="M112" i="1"/>
  <c r="L112" i="1"/>
  <c r="K112" i="1"/>
  <c r="J112" i="1"/>
  <c r="I112" i="1"/>
  <c r="H112" i="1"/>
  <c r="M111" i="1"/>
  <c r="L111" i="1"/>
  <c r="K111" i="1"/>
  <c r="J111" i="1"/>
  <c r="I111" i="1"/>
  <c r="H111" i="1"/>
  <c r="M110" i="1"/>
  <c r="L110" i="1"/>
  <c r="K110" i="1"/>
  <c r="J110" i="1"/>
  <c r="I110" i="1"/>
  <c r="H110" i="1"/>
  <c r="M109" i="1"/>
  <c r="L109" i="1"/>
  <c r="K109" i="1"/>
  <c r="J109" i="1"/>
  <c r="I109" i="1"/>
  <c r="H109" i="1"/>
  <c r="M108" i="1"/>
  <c r="L108" i="1"/>
  <c r="K108" i="1"/>
  <c r="J108" i="1"/>
  <c r="I108" i="1"/>
  <c r="H108" i="1"/>
  <c r="M106" i="1"/>
  <c r="L106" i="1"/>
  <c r="K106" i="1"/>
  <c r="J106" i="1"/>
  <c r="I106" i="1"/>
  <c r="H106" i="1"/>
  <c r="M105" i="1"/>
  <c r="L105" i="1"/>
  <c r="K105" i="1"/>
  <c r="J105" i="1"/>
  <c r="I105" i="1"/>
  <c r="H105" i="1"/>
  <c r="M104" i="1"/>
  <c r="L104" i="1"/>
  <c r="K104" i="1"/>
  <c r="J104" i="1"/>
  <c r="I104" i="1"/>
  <c r="H104" i="1"/>
  <c r="M103" i="1"/>
  <c r="L103" i="1"/>
  <c r="K103" i="1"/>
  <c r="J103" i="1"/>
  <c r="I103" i="1"/>
  <c r="H103" i="1"/>
  <c r="M102" i="1"/>
  <c r="L102" i="1"/>
  <c r="K102" i="1"/>
  <c r="J102" i="1"/>
  <c r="I102" i="1"/>
  <c r="H102" i="1"/>
  <c r="M101" i="1"/>
  <c r="L101" i="1"/>
  <c r="K101" i="1"/>
  <c r="J101" i="1"/>
  <c r="I101" i="1"/>
  <c r="H101" i="1"/>
  <c r="M100" i="1"/>
  <c r="L100" i="1"/>
  <c r="K100" i="1"/>
  <c r="J100" i="1"/>
  <c r="I100" i="1"/>
  <c r="H100" i="1"/>
  <c r="M99" i="1"/>
  <c r="L99" i="1"/>
  <c r="K99" i="1"/>
  <c r="J99" i="1"/>
  <c r="I99" i="1"/>
  <c r="H99" i="1"/>
  <c r="M96" i="1"/>
  <c r="L96" i="1"/>
  <c r="K96" i="1"/>
  <c r="J96" i="1"/>
  <c r="I96" i="1"/>
  <c r="H96" i="1"/>
  <c r="M94" i="1"/>
  <c r="L94" i="1"/>
  <c r="K94" i="1"/>
  <c r="J94" i="1"/>
  <c r="I94" i="1"/>
  <c r="H94" i="1"/>
  <c r="M93" i="1"/>
  <c r="L93" i="1"/>
  <c r="K93" i="1"/>
  <c r="J93" i="1"/>
  <c r="I93" i="1"/>
  <c r="H93" i="1"/>
  <c r="M92" i="1"/>
  <c r="L92" i="1"/>
  <c r="K92" i="1"/>
  <c r="J92" i="1"/>
  <c r="I92" i="1"/>
  <c r="H92" i="1"/>
  <c r="M90" i="1"/>
  <c r="L90" i="1"/>
  <c r="K90" i="1"/>
  <c r="J90" i="1"/>
  <c r="I90" i="1"/>
  <c r="H90" i="1"/>
  <c r="M89" i="1"/>
  <c r="L89" i="1"/>
  <c r="K89" i="1"/>
  <c r="J89" i="1"/>
  <c r="I89" i="1"/>
  <c r="H89" i="1"/>
  <c r="M87" i="1"/>
  <c r="L87" i="1"/>
  <c r="K87" i="1"/>
  <c r="J87" i="1"/>
  <c r="I87" i="1"/>
  <c r="H87" i="1"/>
  <c r="M86" i="1"/>
  <c r="L86" i="1"/>
  <c r="K86" i="1"/>
  <c r="J86" i="1"/>
  <c r="I86" i="1"/>
  <c r="H86" i="1"/>
  <c r="M84" i="1"/>
  <c r="L84" i="1"/>
  <c r="K84" i="1"/>
  <c r="J84" i="1"/>
  <c r="I84" i="1"/>
  <c r="H84" i="1"/>
  <c r="M83" i="1"/>
  <c r="L83" i="1"/>
  <c r="K83" i="1"/>
  <c r="J83" i="1"/>
  <c r="I83" i="1"/>
  <c r="H83" i="1"/>
  <c r="M81" i="1"/>
  <c r="L81" i="1"/>
  <c r="K81" i="1"/>
  <c r="J81" i="1"/>
  <c r="I81" i="1"/>
  <c r="H81" i="1"/>
  <c r="M79" i="1"/>
  <c r="L79" i="1"/>
  <c r="K79" i="1"/>
  <c r="J79" i="1"/>
  <c r="I79" i="1"/>
  <c r="H79" i="1"/>
  <c r="M78" i="1"/>
  <c r="L78" i="1"/>
  <c r="K78" i="1"/>
  <c r="J78" i="1"/>
  <c r="I78" i="1"/>
  <c r="H78" i="1"/>
  <c r="M77" i="1"/>
  <c r="L77" i="1"/>
  <c r="K77" i="1"/>
  <c r="J77" i="1"/>
  <c r="I77" i="1"/>
  <c r="H77" i="1"/>
  <c r="M75" i="1"/>
  <c r="L75" i="1"/>
  <c r="K75" i="1"/>
  <c r="J75" i="1"/>
  <c r="I75" i="1"/>
  <c r="H75" i="1"/>
  <c r="M74" i="1"/>
  <c r="L74" i="1"/>
  <c r="K74" i="1"/>
  <c r="J74" i="1"/>
  <c r="I74" i="1"/>
  <c r="H74" i="1"/>
  <c r="M71" i="1"/>
  <c r="L71" i="1"/>
  <c r="K71" i="1"/>
  <c r="J71" i="1"/>
  <c r="I71" i="1"/>
  <c r="H71" i="1"/>
  <c r="M67" i="1"/>
  <c r="L67" i="1"/>
  <c r="K67" i="1"/>
  <c r="J67" i="1"/>
  <c r="I67" i="1"/>
  <c r="H67" i="1"/>
  <c r="M65" i="1"/>
  <c r="L65" i="1"/>
  <c r="K65" i="1"/>
  <c r="J65" i="1"/>
  <c r="I65" i="1"/>
  <c r="H65" i="1"/>
  <c r="M63" i="1"/>
  <c r="L63" i="1"/>
  <c r="K63" i="1"/>
  <c r="J63" i="1"/>
  <c r="I63" i="1"/>
  <c r="H63" i="1"/>
  <c r="M62" i="1"/>
  <c r="L62" i="1"/>
  <c r="K62" i="1"/>
  <c r="J62" i="1"/>
  <c r="I62" i="1"/>
  <c r="H62" i="1"/>
  <c r="M59" i="1"/>
  <c r="L59" i="1"/>
  <c r="K59" i="1"/>
  <c r="J59" i="1"/>
  <c r="I59" i="1"/>
  <c r="H59" i="1"/>
  <c r="M58" i="1"/>
  <c r="L58" i="1"/>
  <c r="K58" i="1"/>
  <c r="J58" i="1"/>
  <c r="I58" i="1"/>
  <c r="H58" i="1"/>
  <c r="M56" i="1"/>
  <c r="L56" i="1"/>
  <c r="K56" i="1"/>
  <c r="J56" i="1"/>
  <c r="I56" i="1"/>
  <c r="H56" i="1"/>
  <c r="M53" i="1"/>
  <c r="L53" i="1"/>
  <c r="K53" i="1"/>
  <c r="J53" i="1"/>
  <c r="I53" i="1"/>
  <c r="H53" i="1"/>
  <c r="M50" i="1"/>
  <c r="L50" i="1"/>
  <c r="K50" i="1"/>
  <c r="J50" i="1"/>
  <c r="I50" i="1"/>
  <c r="H50" i="1"/>
  <c r="M46" i="1"/>
  <c r="L46" i="1"/>
  <c r="K46" i="1"/>
  <c r="J46" i="1"/>
  <c r="I46" i="1"/>
  <c r="H46" i="1"/>
  <c r="M45" i="1"/>
  <c r="L45" i="1"/>
  <c r="K45" i="1"/>
  <c r="J45" i="1"/>
  <c r="I45" i="1"/>
  <c r="H45" i="1"/>
  <c r="M44" i="1"/>
  <c r="L44" i="1"/>
  <c r="K44" i="1"/>
  <c r="J44" i="1"/>
  <c r="I44" i="1"/>
  <c r="H44" i="1"/>
  <c r="M43" i="1"/>
  <c r="L43" i="1"/>
  <c r="K43" i="1"/>
  <c r="J43" i="1"/>
  <c r="I43" i="1"/>
  <c r="H43" i="1"/>
  <c r="M42" i="1"/>
  <c r="L42" i="1"/>
  <c r="K42" i="1"/>
  <c r="J42" i="1"/>
  <c r="I42" i="1"/>
  <c r="H42" i="1"/>
  <c r="M40" i="1"/>
  <c r="L40" i="1"/>
  <c r="K40" i="1"/>
  <c r="J40" i="1"/>
  <c r="I40" i="1"/>
  <c r="H40" i="1"/>
  <c r="M37" i="1"/>
  <c r="L37" i="1"/>
  <c r="K37" i="1"/>
  <c r="J37" i="1"/>
  <c r="I37" i="1"/>
  <c r="H37" i="1"/>
  <c r="M34" i="1"/>
  <c r="L34" i="1"/>
  <c r="K34" i="1"/>
  <c r="J34" i="1"/>
  <c r="I34" i="1"/>
  <c r="H34" i="1"/>
  <c r="M33" i="1"/>
  <c r="L33" i="1"/>
  <c r="K33" i="1"/>
  <c r="J33" i="1"/>
  <c r="I33" i="1"/>
  <c r="H33" i="1"/>
  <c r="M30" i="1"/>
  <c r="L30" i="1"/>
  <c r="K30" i="1"/>
  <c r="J30" i="1"/>
  <c r="I30" i="1"/>
  <c r="H30" i="1"/>
  <c r="M28" i="1"/>
  <c r="L28" i="1"/>
  <c r="K28" i="1"/>
  <c r="J28" i="1"/>
  <c r="I28" i="1"/>
  <c r="H28" i="1"/>
  <c r="M27" i="1"/>
  <c r="L27" i="1"/>
  <c r="K27" i="1"/>
  <c r="J27" i="1"/>
  <c r="I27" i="1"/>
  <c r="H27" i="1"/>
  <c r="M25" i="1"/>
  <c r="L25" i="1"/>
  <c r="K25" i="1"/>
  <c r="J25" i="1"/>
  <c r="I25" i="1"/>
  <c r="H25" i="1"/>
  <c r="M23" i="1"/>
  <c r="L23" i="1"/>
  <c r="K23" i="1"/>
  <c r="J23" i="1"/>
  <c r="I23" i="1"/>
  <c r="H23" i="1"/>
  <c r="M22" i="1"/>
  <c r="L22" i="1"/>
  <c r="K22" i="1"/>
  <c r="J22" i="1"/>
  <c r="I22" i="1"/>
  <c r="H22" i="1"/>
  <c r="M20" i="1"/>
  <c r="L20" i="1"/>
  <c r="K20" i="1"/>
  <c r="J20" i="1"/>
  <c r="I20" i="1"/>
  <c r="H20" i="1"/>
  <c r="M16" i="1"/>
  <c r="L16" i="1"/>
  <c r="K16" i="1"/>
  <c r="J16" i="1"/>
  <c r="I16" i="1"/>
  <c r="H16" i="1"/>
  <c r="M15" i="1"/>
  <c r="L15" i="1"/>
  <c r="K15" i="1"/>
  <c r="J15" i="1"/>
  <c r="I15" i="1"/>
  <c r="H15" i="1"/>
  <c r="M14" i="1"/>
  <c r="L14" i="1"/>
  <c r="K14" i="1"/>
  <c r="J14" i="1"/>
  <c r="I14" i="1"/>
  <c r="H14" i="1"/>
  <c r="M13" i="1"/>
  <c r="L13" i="1"/>
  <c r="K13" i="1"/>
  <c r="J13" i="1"/>
  <c r="I13" i="1"/>
  <c r="H13" i="1"/>
  <c r="M12" i="1"/>
  <c r="L12" i="1"/>
  <c r="K12" i="1"/>
  <c r="J12" i="1"/>
  <c r="I12" i="1"/>
  <c r="H12" i="1"/>
  <c r="M11" i="1"/>
  <c r="L11" i="1"/>
  <c r="K11" i="1"/>
  <c r="J11" i="1"/>
  <c r="I11" i="1"/>
  <c r="H11" i="1"/>
  <c r="L157" i="1" l="1"/>
  <c r="L535" i="1" s="1"/>
  <c r="N22" i="1"/>
  <c r="O22" i="1" s="1"/>
  <c r="P22" i="1" s="1"/>
  <c r="N28" i="1"/>
  <c r="O28" i="1" s="1"/>
  <c r="P28" i="1" s="1"/>
  <c r="N37" i="1"/>
  <c r="O37" i="1" s="1"/>
  <c r="P37" i="1" s="1"/>
  <c r="N44" i="1"/>
  <c r="O44" i="1" s="1"/>
  <c r="P44" i="1" s="1"/>
  <c r="N53" i="1"/>
  <c r="O53" i="1" s="1"/>
  <c r="P53" i="1" s="1"/>
  <c r="N62" i="1"/>
  <c r="O62" i="1" s="1"/>
  <c r="P62" i="1" s="1"/>
  <c r="N71" i="1"/>
  <c r="O71" i="1" s="1"/>
  <c r="P71" i="1" s="1"/>
  <c r="N78" i="1"/>
  <c r="O78" i="1" s="1"/>
  <c r="P78" i="1" s="1"/>
  <c r="N84" i="1"/>
  <c r="O84" i="1" s="1"/>
  <c r="P84" i="1" s="1"/>
  <c r="N90" i="1"/>
  <c r="O90" i="1" s="1"/>
  <c r="P90" i="1" s="1"/>
  <c r="N96" i="1"/>
  <c r="O96" i="1" s="1"/>
  <c r="P96" i="1" s="1"/>
  <c r="N117" i="1"/>
  <c r="O117" i="1" s="1"/>
  <c r="P117" i="1" s="1"/>
  <c r="N125" i="1"/>
  <c r="O125" i="1" s="1"/>
  <c r="P125" i="1" s="1"/>
  <c r="N131" i="1"/>
  <c r="O131" i="1" s="1"/>
  <c r="P131" i="1" s="1"/>
  <c r="N138" i="1"/>
  <c r="O138" i="1" s="1"/>
  <c r="P138" i="1" s="1"/>
  <c r="N143" i="1"/>
  <c r="O143" i="1" s="1"/>
  <c r="P143" i="1" s="1"/>
  <c r="N150" i="1"/>
  <c r="O150" i="1" s="1"/>
  <c r="P150" i="1" s="1"/>
  <c r="N397" i="1"/>
  <c r="O397" i="1" s="1"/>
  <c r="N402" i="1"/>
  <c r="O402" i="1" s="1"/>
  <c r="P402" i="1" s="1"/>
  <c r="N408" i="1"/>
  <c r="O408" i="1" s="1"/>
  <c r="P408" i="1" s="1"/>
  <c r="N414" i="1"/>
  <c r="O414" i="1" s="1"/>
  <c r="P414" i="1" s="1"/>
  <c r="N416" i="1"/>
  <c r="O416" i="1" s="1"/>
  <c r="P416" i="1" s="1"/>
  <c r="N418" i="1"/>
  <c r="O418" i="1" s="1"/>
  <c r="P418" i="1" s="1"/>
  <c r="N421" i="1"/>
  <c r="O421" i="1" s="1"/>
  <c r="P421" i="1" s="1"/>
  <c r="N423" i="1"/>
  <c r="O423" i="1" s="1"/>
  <c r="P423" i="1" s="1"/>
  <c r="N425" i="1"/>
  <c r="O425" i="1" s="1"/>
  <c r="P425" i="1" s="1"/>
  <c r="N427" i="1"/>
  <c r="O427" i="1" s="1"/>
  <c r="P427" i="1" s="1"/>
  <c r="N429" i="1"/>
  <c r="O429" i="1" s="1"/>
  <c r="P429" i="1" s="1"/>
  <c r="N436" i="1"/>
  <c r="O436" i="1" s="1"/>
  <c r="P436" i="1" s="1"/>
  <c r="P458" i="1"/>
  <c r="O462" i="1"/>
  <c r="N162" i="1"/>
  <c r="O162" i="1" s="1"/>
  <c r="L199" i="1"/>
  <c r="N166" i="1"/>
  <c r="O166" i="1" s="1"/>
  <c r="P166" i="1" s="1"/>
  <c r="N172" i="1"/>
  <c r="O172" i="1" s="1"/>
  <c r="P172" i="1" s="1"/>
  <c r="N178" i="1"/>
  <c r="O178" i="1" s="1"/>
  <c r="P178" i="1" s="1"/>
  <c r="N184" i="1"/>
  <c r="O184" i="1" s="1"/>
  <c r="P184" i="1" s="1"/>
  <c r="N189" i="1"/>
  <c r="O189" i="1" s="1"/>
  <c r="P189" i="1" s="1"/>
  <c r="N195" i="1"/>
  <c r="O195" i="1" s="1"/>
  <c r="P195" i="1" s="1"/>
  <c r="N197" i="1"/>
  <c r="O197" i="1" s="1"/>
  <c r="P197" i="1" s="1"/>
  <c r="H308" i="1"/>
  <c r="N207" i="1"/>
  <c r="O207" i="1" s="1"/>
  <c r="P207" i="1" s="1"/>
  <c r="N212" i="1"/>
  <c r="O212" i="1" s="1"/>
  <c r="P212" i="1" s="1"/>
  <c r="N215" i="1"/>
  <c r="O215" i="1" s="1"/>
  <c r="P215" i="1" s="1"/>
  <c r="N217" i="1"/>
  <c r="O217" i="1" s="1"/>
  <c r="P217" i="1" s="1"/>
  <c r="N220" i="1"/>
  <c r="O220" i="1" s="1"/>
  <c r="P220" i="1" s="1"/>
  <c r="N223" i="1"/>
  <c r="O223" i="1" s="1"/>
  <c r="P223" i="1" s="1"/>
  <c r="N225" i="1"/>
  <c r="O225" i="1" s="1"/>
  <c r="P225" i="1" s="1"/>
  <c r="N227" i="1"/>
  <c r="O227" i="1" s="1"/>
  <c r="P227" i="1" s="1"/>
  <c r="N231" i="1"/>
  <c r="O231" i="1" s="1"/>
  <c r="P231" i="1" s="1"/>
  <c r="N234" i="1"/>
  <c r="O234" i="1" s="1"/>
  <c r="P234" i="1" s="1"/>
  <c r="N239" i="1"/>
  <c r="O239" i="1" s="1"/>
  <c r="P239" i="1" s="1"/>
  <c r="N242" i="1"/>
  <c r="O242" i="1" s="1"/>
  <c r="P242" i="1" s="1"/>
  <c r="N246" i="1"/>
  <c r="O246" i="1" s="1"/>
  <c r="P246" i="1" s="1"/>
  <c r="N250" i="1"/>
  <c r="O250" i="1" s="1"/>
  <c r="P250" i="1" s="1"/>
  <c r="N253" i="1"/>
  <c r="O253" i="1" s="1"/>
  <c r="P253" i="1" s="1"/>
  <c r="N255" i="1"/>
  <c r="O255" i="1" s="1"/>
  <c r="P255" i="1" s="1"/>
  <c r="N259" i="1"/>
  <c r="O259" i="1" s="1"/>
  <c r="P259" i="1" s="1"/>
  <c r="L308" i="1"/>
  <c r="N264" i="1"/>
  <c r="O264" i="1" s="1"/>
  <c r="P264" i="1" s="1"/>
  <c r="N270" i="1"/>
  <c r="O270" i="1" s="1"/>
  <c r="P270" i="1" s="1"/>
  <c r="N276" i="1"/>
  <c r="O276" i="1" s="1"/>
  <c r="P276" i="1" s="1"/>
  <c r="N279" i="1"/>
  <c r="O279" i="1" s="1"/>
  <c r="P279" i="1" s="1"/>
  <c r="N283" i="1"/>
  <c r="O283" i="1" s="1"/>
  <c r="P283" i="1" s="1"/>
  <c r="N285" i="1"/>
  <c r="O285" i="1" s="1"/>
  <c r="P285" i="1" s="1"/>
  <c r="N289" i="1"/>
  <c r="O289" i="1" s="1"/>
  <c r="P289" i="1" s="1"/>
  <c r="N291" i="1"/>
  <c r="O291" i="1" s="1"/>
  <c r="P291" i="1" s="1"/>
  <c r="N293" i="1"/>
  <c r="O293" i="1" s="1"/>
  <c r="P293" i="1" s="1"/>
  <c r="N295" i="1"/>
  <c r="O295" i="1" s="1"/>
  <c r="P295" i="1" s="1"/>
  <c r="N298" i="1"/>
  <c r="O298" i="1" s="1"/>
  <c r="P298" i="1" s="1"/>
  <c r="N300" i="1"/>
  <c r="O300" i="1" s="1"/>
  <c r="P300" i="1" s="1"/>
  <c r="N302" i="1"/>
  <c r="O302" i="1" s="1"/>
  <c r="P302" i="1" s="1"/>
  <c r="N304" i="1"/>
  <c r="O304" i="1" s="1"/>
  <c r="P304" i="1" s="1"/>
  <c r="L391" i="1"/>
  <c r="N316" i="1"/>
  <c r="O316" i="1" s="1"/>
  <c r="P316" i="1" s="1"/>
  <c r="N318" i="1"/>
  <c r="O318" i="1" s="1"/>
  <c r="P318" i="1" s="1"/>
  <c r="N321" i="1"/>
  <c r="O321" i="1" s="1"/>
  <c r="P321" i="1" s="1"/>
  <c r="N325" i="1"/>
  <c r="O325" i="1" s="1"/>
  <c r="P325" i="1" s="1"/>
  <c r="N327" i="1"/>
  <c r="O327" i="1" s="1"/>
  <c r="P327" i="1" s="1"/>
  <c r="N330" i="1"/>
  <c r="O330" i="1" s="1"/>
  <c r="P330" i="1" s="1"/>
  <c r="N333" i="1"/>
  <c r="O333" i="1" s="1"/>
  <c r="P333" i="1" s="1"/>
  <c r="N338" i="1"/>
  <c r="O338" i="1" s="1"/>
  <c r="P338" i="1" s="1"/>
  <c r="N341" i="1"/>
  <c r="O341" i="1" s="1"/>
  <c r="P341" i="1" s="1"/>
  <c r="N345" i="1"/>
  <c r="O345" i="1" s="1"/>
  <c r="P345" i="1" s="1"/>
  <c r="N347" i="1"/>
  <c r="O347" i="1" s="1"/>
  <c r="P347" i="1" s="1"/>
  <c r="N350" i="1"/>
  <c r="O350" i="1" s="1"/>
  <c r="P350" i="1" s="1"/>
  <c r="N353" i="1"/>
  <c r="O353" i="1" s="1"/>
  <c r="P353" i="1" s="1"/>
  <c r="N357" i="1"/>
  <c r="O357" i="1" s="1"/>
  <c r="P357" i="1" s="1"/>
  <c r="N361" i="1"/>
  <c r="O361" i="1" s="1"/>
  <c r="P361" i="1" s="1"/>
  <c r="N364" i="1"/>
  <c r="O364" i="1" s="1"/>
  <c r="P364" i="1" s="1"/>
  <c r="N369" i="1"/>
  <c r="O369" i="1" s="1"/>
  <c r="P369" i="1" s="1"/>
  <c r="N372" i="1"/>
  <c r="O372" i="1" s="1"/>
  <c r="P372" i="1" s="1"/>
  <c r="N374" i="1"/>
  <c r="O374" i="1" s="1"/>
  <c r="P374" i="1" s="1"/>
  <c r="N376" i="1"/>
  <c r="O376" i="1" s="1"/>
  <c r="P376" i="1" s="1"/>
  <c r="N379" i="1"/>
  <c r="O379" i="1" s="1"/>
  <c r="P379" i="1" s="1"/>
  <c r="N383" i="1"/>
  <c r="O383" i="1" s="1"/>
  <c r="P383" i="1" s="1"/>
  <c r="N385" i="1"/>
  <c r="O385" i="1" s="1"/>
  <c r="P385" i="1" s="1"/>
  <c r="N390" i="1"/>
  <c r="O390" i="1" s="1"/>
  <c r="P390" i="1" s="1"/>
  <c r="I430" i="1"/>
  <c r="M430" i="1"/>
  <c r="K438" i="1"/>
  <c r="N11" i="1"/>
  <c r="O11" i="1" s="1"/>
  <c r="P11" i="1" s="1"/>
  <c r="N15" i="1"/>
  <c r="O15" i="1" s="1"/>
  <c r="P15" i="1" s="1"/>
  <c r="N23" i="1"/>
  <c r="O23" i="1" s="1"/>
  <c r="P23" i="1" s="1"/>
  <c r="N30" i="1"/>
  <c r="O30" i="1" s="1"/>
  <c r="P30" i="1" s="1"/>
  <c r="N40" i="1"/>
  <c r="O40" i="1" s="1"/>
  <c r="P40" i="1" s="1"/>
  <c r="N45" i="1"/>
  <c r="O45" i="1" s="1"/>
  <c r="P45" i="1" s="1"/>
  <c r="N56" i="1"/>
  <c r="O56" i="1" s="1"/>
  <c r="P56" i="1" s="1"/>
  <c r="N63" i="1"/>
  <c r="O63" i="1" s="1"/>
  <c r="P63" i="1" s="1"/>
  <c r="N74" i="1"/>
  <c r="O74" i="1" s="1"/>
  <c r="P74" i="1" s="1"/>
  <c r="N79" i="1"/>
  <c r="O79" i="1" s="1"/>
  <c r="P79" i="1" s="1"/>
  <c r="N86" i="1"/>
  <c r="O86" i="1" s="1"/>
  <c r="P86" i="1" s="1"/>
  <c r="N92" i="1"/>
  <c r="O92" i="1" s="1"/>
  <c r="P92" i="1" s="1"/>
  <c r="N99" i="1"/>
  <c r="O99" i="1" s="1"/>
  <c r="P99" i="1" s="1"/>
  <c r="N103" i="1"/>
  <c r="O103" i="1" s="1"/>
  <c r="P103" i="1" s="1"/>
  <c r="N108" i="1"/>
  <c r="O108" i="1" s="1"/>
  <c r="P108" i="1" s="1"/>
  <c r="N112" i="1"/>
  <c r="O112" i="1" s="1"/>
  <c r="P112" i="1" s="1"/>
  <c r="N119" i="1"/>
  <c r="O119" i="1" s="1"/>
  <c r="P119" i="1" s="1"/>
  <c r="K199" i="1"/>
  <c r="I391" i="1"/>
  <c r="M391" i="1"/>
  <c r="J430" i="1"/>
  <c r="N401" i="1"/>
  <c r="O401" i="1" s="1"/>
  <c r="P401" i="1" s="1"/>
  <c r="N407" i="1"/>
  <c r="O407" i="1" s="1"/>
  <c r="P407" i="1" s="1"/>
  <c r="N411" i="1"/>
  <c r="O411" i="1" s="1"/>
  <c r="P411" i="1" s="1"/>
  <c r="N415" i="1"/>
  <c r="O415" i="1" s="1"/>
  <c r="P415" i="1" s="1"/>
  <c r="N417" i="1"/>
  <c r="O417" i="1" s="1"/>
  <c r="P417" i="1" s="1"/>
  <c r="N420" i="1"/>
  <c r="O420" i="1" s="1"/>
  <c r="P420" i="1" s="1"/>
  <c r="N422" i="1"/>
  <c r="O422" i="1" s="1"/>
  <c r="P422" i="1" s="1"/>
  <c r="N424" i="1"/>
  <c r="O424" i="1" s="1"/>
  <c r="P424" i="1" s="1"/>
  <c r="N426" i="1"/>
  <c r="O426" i="1" s="1"/>
  <c r="P426" i="1" s="1"/>
  <c r="N428" i="1"/>
  <c r="O428" i="1" s="1"/>
  <c r="P428" i="1" s="1"/>
  <c r="N434" i="1"/>
  <c r="O434" i="1" s="1"/>
  <c r="L438" i="1"/>
  <c r="N437" i="1"/>
  <c r="O437" i="1" s="1"/>
  <c r="P437" i="1" s="1"/>
  <c r="N447" i="1"/>
  <c r="O447" i="1" s="1"/>
  <c r="P447" i="1" s="1"/>
  <c r="N451" i="1"/>
  <c r="O451" i="1" s="1"/>
  <c r="P451" i="1" s="1"/>
  <c r="K526" i="1"/>
  <c r="K452" i="1"/>
  <c r="J462" i="1"/>
  <c r="N459" i="1"/>
  <c r="O459" i="1" s="1"/>
  <c r="P459" i="1" s="1"/>
  <c r="K483" i="1"/>
  <c r="K503" i="1"/>
  <c r="H513" i="1"/>
  <c r="L513" i="1"/>
  <c r="J520" i="1"/>
  <c r="N444" i="1"/>
  <c r="O444" i="1" s="1"/>
  <c r="N450" i="1"/>
  <c r="O450" i="1" s="1"/>
  <c r="P450" i="1" s="1"/>
  <c r="K462" i="1"/>
  <c r="N469" i="1"/>
  <c r="O469" i="1" s="1"/>
  <c r="L483" i="1"/>
  <c r="N472" i="1"/>
  <c r="O472" i="1" s="1"/>
  <c r="P472" i="1" s="1"/>
  <c r="N475" i="1"/>
  <c r="O475" i="1" s="1"/>
  <c r="P475" i="1" s="1"/>
  <c r="N478" i="1"/>
  <c r="O478" i="1" s="1"/>
  <c r="P478" i="1" s="1"/>
  <c r="N481" i="1"/>
  <c r="O481" i="1" s="1"/>
  <c r="P481" i="1" s="1"/>
  <c r="N492" i="1"/>
  <c r="O492" i="1" s="1"/>
  <c r="P492" i="1" s="1"/>
  <c r="N495" i="1"/>
  <c r="O495" i="1" s="1"/>
  <c r="P495" i="1" s="1"/>
  <c r="N499" i="1"/>
  <c r="O499" i="1" s="1"/>
  <c r="P499" i="1" s="1"/>
  <c r="I513" i="1"/>
  <c r="M513" i="1"/>
  <c r="K520" i="1"/>
  <c r="N509" i="1"/>
  <c r="O509" i="1" s="1"/>
  <c r="N512" i="1"/>
  <c r="O512" i="1" s="1"/>
  <c r="P512" i="1" s="1"/>
  <c r="N519" i="1"/>
  <c r="O519" i="1" s="1"/>
  <c r="P519" i="1" s="1"/>
  <c r="N524" i="1"/>
  <c r="O524" i="1" s="1"/>
  <c r="P524" i="1" s="1"/>
  <c r="N529" i="1"/>
  <c r="N530" i="1" s="1"/>
  <c r="M157" i="1"/>
  <c r="M535" i="1" s="1"/>
  <c r="J157" i="1"/>
  <c r="J535" i="1" s="1"/>
  <c r="I157" i="1"/>
  <c r="N12" i="1"/>
  <c r="O12" i="1" s="1"/>
  <c r="P12" i="1" s="1"/>
  <c r="N14" i="1"/>
  <c r="O14" i="1" s="1"/>
  <c r="P14" i="1" s="1"/>
  <c r="N16" i="1"/>
  <c r="O16" i="1" s="1"/>
  <c r="N102" i="1"/>
  <c r="O102" i="1" s="1"/>
  <c r="P102" i="1" s="1"/>
  <c r="N106" i="1"/>
  <c r="O106" i="1" s="1"/>
  <c r="P106" i="1" s="1"/>
  <c r="N111" i="1"/>
  <c r="O111" i="1" s="1"/>
  <c r="P111" i="1" s="1"/>
  <c r="O529" i="1"/>
  <c r="O530" i="1" s="1"/>
  <c r="K157" i="1"/>
  <c r="K535" i="1" s="1"/>
  <c r="N13" i="1"/>
  <c r="O13" i="1" s="1"/>
  <c r="P13" i="1" s="1"/>
  <c r="N20" i="1"/>
  <c r="O20" i="1" s="1"/>
  <c r="P20" i="1" s="1"/>
  <c r="N27" i="1"/>
  <c r="O27" i="1" s="1"/>
  <c r="P27" i="1" s="1"/>
  <c r="N34" i="1"/>
  <c r="O34" i="1" s="1"/>
  <c r="P34" i="1" s="1"/>
  <c r="N43" i="1"/>
  <c r="O43" i="1" s="1"/>
  <c r="P43" i="1" s="1"/>
  <c r="N50" i="1"/>
  <c r="O50" i="1" s="1"/>
  <c r="P50" i="1" s="1"/>
  <c r="N59" i="1"/>
  <c r="O59" i="1" s="1"/>
  <c r="P59" i="1" s="1"/>
  <c r="N67" i="1"/>
  <c r="O67" i="1" s="1"/>
  <c r="P67" i="1" s="1"/>
  <c r="N77" i="1"/>
  <c r="O77" i="1" s="1"/>
  <c r="P77" i="1" s="1"/>
  <c r="N83" i="1"/>
  <c r="O83" i="1" s="1"/>
  <c r="P83" i="1" s="1"/>
  <c r="N89" i="1"/>
  <c r="O89" i="1" s="1"/>
  <c r="P89" i="1" s="1"/>
  <c r="N94" i="1"/>
  <c r="O94" i="1" s="1"/>
  <c r="P94" i="1" s="1"/>
  <c r="N101" i="1"/>
  <c r="O101" i="1" s="1"/>
  <c r="P101" i="1" s="1"/>
  <c r="N105" i="1"/>
  <c r="O105" i="1" s="1"/>
  <c r="P105" i="1" s="1"/>
  <c r="N110" i="1"/>
  <c r="O110" i="1" s="1"/>
  <c r="P110" i="1" s="1"/>
  <c r="N114" i="1"/>
  <c r="O114" i="1" s="1"/>
  <c r="P114" i="1" s="1"/>
  <c r="N123" i="1"/>
  <c r="O123" i="1" s="1"/>
  <c r="P123" i="1" s="1"/>
  <c r="N130" i="1"/>
  <c r="O130" i="1" s="1"/>
  <c r="P130" i="1" s="1"/>
  <c r="N137" i="1"/>
  <c r="O137" i="1" s="1"/>
  <c r="P137" i="1" s="1"/>
  <c r="N142" i="1"/>
  <c r="O142" i="1" s="1"/>
  <c r="P142" i="1" s="1"/>
  <c r="N149" i="1"/>
  <c r="O149" i="1" s="1"/>
  <c r="P149" i="1" s="1"/>
  <c r="N154" i="1"/>
  <c r="O154" i="1" s="1"/>
  <c r="P154" i="1" s="1"/>
  <c r="N165" i="1"/>
  <c r="O165" i="1" s="1"/>
  <c r="P165" i="1" s="1"/>
  <c r="N171" i="1"/>
  <c r="O171" i="1" s="1"/>
  <c r="P171" i="1" s="1"/>
  <c r="N176" i="1"/>
  <c r="O176" i="1" s="1"/>
  <c r="P176" i="1" s="1"/>
  <c r="N183" i="1"/>
  <c r="O183" i="1" s="1"/>
  <c r="P183" i="1" s="1"/>
  <c r="N188" i="1"/>
  <c r="O188" i="1" s="1"/>
  <c r="P188" i="1" s="1"/>
  <c r="N192" i="1"/>
  <c r="O192" i="1" s="1"/>
  <c r="P192" i="1" s="1"/>
  <c r="N198" i="1"/>
  <c r="O198" i="1" s="1"/>
  <c r="P198" i="1" s="1"/>
  <c r="K308" i="1"/>
  <c r="N206" i="1"/>
  <c r="O206" i="1" s="1"/>
  <c r="P206" i="1" s="1"/>
  <c r="N211" i="1"/>
  <c r="O211" i="1" s="1"/>
  <c r="P211" i="1" s="1"/>
  <c r="N216" i="1"/>
  <c r="O216" i="1" s="1"/>
  <c r="P216" i="1" s="1"/>
  <c r="N221" i="1"/>
  <c r="O221" i="1" s="1"/>
  <c r="P221" i="1" s="1"/>
  <c r="N226" i="1"/>
  <c r="O226" i="1" s="1"/>
  <c r="P226" i="1" s="1"/>
  <c r="N233" i="1"/>
  <c r="O233" i="1" s="1"/>
  <c r="P233" i="1" s="1"/>
  <c r="N25" i="1"/>
  <c r="O25" i="1" s="1"/>
  <c r="P25" i="1" s="1"/>
  <c r="N33" i="1"/>
  <c r="O33" i="1" s="1"/>
  <c r="P33" i="1" s="1"/>
  <c r="N42" i="1"/>
  <c r="O42" i="1" s="1"/>
  <c r="P42" i="1" s="1"/>
  <c r="N46" i="1"/>
  <c r="O46" i="1" s="1"/>
  <c r="P46" i="1" s="1"/>
  <c r="N58" i="1"/>
  <c r="O58" i="1" s="1"/>
  <c r="P58" i="1" s="1"/>
  <c r="N65" i="1"/>
  <c r="O65" i="1" s="1"/>
  <c r="P65" i="1" s="1"/>
  <c r="N75" i="1"/>
  <c r="O75" i="1" s="1"/>
  <c r="P75" i="1" s="1"/>
  <c r="N81" i="1"/>
  <c r="O81" i="1" s="1"/>
  <c r="P81" i="1" s="1"/>
  <c r="N87" i="1"/>
  <c r="O87" i="1" s="1"/>
  <c r="P87" i="1" s="1"/>
  <c r="N93" i="1"/>
  <c r="O93" i="1" s="1"/>
  <c r="P93" i="1" s="1"/>
  <c r="N100" i="1"/>
  <c r="O100" i="1" s="1"/>
  <c r="P100" i="1" s="1"/>
  <c r="N104" i="1"/>
  <c r="O104" i="1" s="1"/>
  <c r="P104" i="1" s="1"/>
  <c r="N109" i="1"/>
  <c r="O109" i="1" s="1"/>
  <c r="P109" i="1" s="1"/>
  <c r="N113" i="1"/>
  <c r="O113" i="1" s="1"/>
  <c r="P113" i="1" s="1"/>
  <c r="N122" i="1"/>
  <c r="O122" i="1" s="1"/>
  <c r="P122" i="1" s="1"/>
  <c r="N129" i="1"/>
  <c r="O129" i="1" s="1"/>
  <c r="P129" i="1" s="1"/>
  <c r="N136" i="1"/>
  <c r="O136" i="1" s="1"/>
  <c r="P136" i="1" s="1"/>
  <c r="N141" i="1"/>
  <c r="O141" i="1" s="1"/>
  <c r="P141" i="1" s="1"/>
  <c r="N146" i="1"/>
  <c r="O146" i="1" s="1"/>
  <c r="P146" i="1" s="1"/>
  <c r="N152" i="1"/>
  <c r="O152" i="1" s="1"/>
  <c r="P152" i="1" s="1"/>
  <c r="N164" i="1"/>
  <c r="O164" i="1" s="1"/>
  <c r="P164" i="1" s="1"/>
  <c r="N170" i="1"/>
  <c r="O170" i="1" s="1"/>
  <c r="P170" i="1" s="1"/>
  <c r="N175" i="1"/>
  <c r="O175" i="1" s="1"/>
  <c r="P175" i="1" s="1"/>
  <c r="N181" i="1"/>
  <c r="O181" i="1" s="1"/>
  <c r="P181" i="1" s="1"/>
  <c r="N187" i="1"/>
  <c r="O187" i="1" s="1"/>
  <c r="P187" i="1" s="1"/>
  <c r="N191" i="1"/>
  <c r="O191" i="1" s="1"/>
  <c r="P191" i="1" s="1"/>
  <c r="N209" i="1"/>
  <c r="O209" i="1" s="1"/>
  <c r="P209" i="1" s="1"/>
  <c r="N127" i="1"/>
  <c r="O127" i="1" s="1"/>
  <c r="P127" i="1" s="1"/>
  <c r="N134" i="1"/>
  <c r="O134" i="1" s="1"/>
  <c r="P134" i="1" s="1"/>
  <c r="N140" i="1"/>
  <c r="O140" i="1" s="1"/>
  <c r="P140" i="1" s="1"/>
  <c r="N144" i="1"/>
  <c r="O144" i="1" s="1"/>
  <c r="P144" i="1" s="1"/>
  <c r="N151" i="1"/>
  <c r="O151" i="1" s="1"/>
  <c r="P151" i="1" s="1"/>
  <c r="N163" i="1"/>
  <c r="O163" i="1" s="1"/>
  <c r="P163" i="1" s="1"/>
  <c r="N169" i="1"/>
  <c r="O169" i="1" s="1"/>
  <c r="P169" i="1" s="1"/>
  <c r="N173" i="1"/>
  <c r="O173" i="1" s="1"/>
  <c r="P173" i="1" s="1"/>
  <c r="N179" i="1"/>
  <c r="O179" i="1" s="1"/>
  <c r="P179" i="1" s="1"/>
  <c r="N186" i="1"/>
  <c r="O186" i="1" s="1"/>
  <c r="P186" i="1" s="1"/>
  <c r="N190" i="1"/>
  <c r="O190" i="1" s="1"/>
  <c r="P190" i="1" s="1"/>
  <c r="N196" i="1"/>
  <c r="O196" i="1" s="1"/>
  <c r="P196" i="1" s="1"/>
  <c r="N208" i="1"/>
  <c r="O208" i="1" s="1"/>
  <c r="P208" i="1" s="1"/>
  <c r="N213" i="1"/>
  <c r="O213" i="1" s="1"/>
  <c r="P213" i="1" s="1"/>
  <c r="N219" i="1"/>
  <c r="O219" i="1" s="1"/>
  <c r="P219" i="1" s="1"/>
  <c r="N224" i="1"/>
  <c r="O224" i="1" s="1"/>
  <c r="P224" i="1" s="1"/>
  <c r="N228" i="1"/>
  <c r="O228" i="1" s="1"/>
  <c r="P228" i="1" s="1"/>
  <c r="N237" i="1"/>
  <c r="O237" i="1" s="1"/>
  <c r="P237" i="1" s="1"/>
  <c r="H157" i="1"/>
  <c r="H199" i="1"/>
  <c r="N256" i="1"/>
  <c r="O256" i="1" s="1"/>
  <c r="P256" i="1" s="1"/>
  <c r="N262" i="1"/>
  <c r="O262" i="1" s="1"/>
  <c r="P262" i="1" s="1"/>
  <c r="N269" i="1"/>
  <c r="O269" i="1" s="1"/>
  <c r="P269" i="1" s="1"/>
  <c r="N274" i="1"/>
  <c r="O274" i="1" s="1"/>
  <c r="P274" i="1" s="1"/>
  <c r="H391" i="1"/>
  <c r="N314" i="1"/>
  <c r="O314" i="1" s="1"/>
  <c r="L430" i="1"/>
  <c r="N261" i="1"/>
  <c r="O261" i="1" s="1"/>
  <c r="P261" i="1" s="1"/>
  <c r="N268" i="1"/>
  <c r="O268" i="1" s="1"/>
  <c r="P268" i="1" s="1"/>
  <c r="N273" i="1"/>
  <c r="O273" i="1" s="1"/>
  <c r="P273" i="1" s="1"/>
  <c r="P529" i="1"/>
  <c r="P530" i="1" s="1"/>
  <c r="N205" i="1"/>
  <c r="O205" i="1" s="1"/>
  <c r="J513" i="1"/>
  <c r="N389" i="1"/>
  <c r="O389" i="1" s="1"/>
  <c r="P389" i="1" s="1"/>
  <c r="N400" i="1"/>
  <c r="O400" i="1" s="1"/>
  <c r="P400" i="1" s="1"/>
  <c r="N405" i="1"/>
  <c r="O405" i="1" s="1"/>
  <c r="P405" i="1" s="1"/>
  <c r="N410" i="1"/>
  <c r="O410" i="1" s="1"/>
  <c r="P410" i="1" s="1"/>
  <c r="H430" i="1"/>
  <c r="H438" i="1"/>
  <c r="P462" i="1"/>
  <c r="N462" i="1"/>
  <c r="H483" i="1"/>
  <c r="N500" i="1"/>
  <c r="O500" i="1" s="1"/>
  <c r="P500" i="1" s="1"/>
  <c r="I500" i="1"/>
  <c r="I503" i="1" s="1"/>
  <c r="I535" i="1" s="1"/>
  <c r="H500" i="1"/>
  <c r="H503" i="1" s="1"/>
  <c r="N511" i="1"/>
  <c r="O511" i="1" s="1"/>
  <c r="P511" i="1" s="1"/>
  <c r="N518" i="1"/>
  <c r="O518" i="1" s="1"/>
  <c r="J526" i="1"/>
  <c r="N523" i="1"/>
  <c r="O523" i="1" s="1"/>
  <c r="N388" i="1"/>
  <c r="O388" i="1" s="1"/>
  <c r="P388" i="1" s="1"/>
  <c r="K430" i="1"/>
  <c r="N398" i="1"/>
  <c r="N403" i="1"/>
  <c r="O403" i="1" s="1"/>
  <c r="P403" i="1" s="1"/>
  <c r="N409" i="1"/>
  <c r="O409" i="1" s="1"/>
  <c r="P409" i="1" s="1"/>
  <c r="H452" i="1"/>
  <c r="H462" i="1"/>
  <c r="N488" i="1"/>
  <c r="O488" i="1" s="1"/>
  <c r="L503" i="1"/>
  <c r="J530" i="1"/>
  <c r="H535" i="1" l="1"/>
  <c r="O398" i="1"/>
  <c r="P398" i="1" s="1"/>
  <c r="O503" i="1"/>
  <c r="P488" i="1"/>
  <c r="N452" i="1"/>
  <c r="N430" i="1"/>
  <c r="O520" i="1"/>
  <c r="P518" i="1"/>
  <c r="P520" i="1" s="1"/>
  <c r="P314" i="1"/>
  <c r="O391" i="1"/>
  <c r="P509" i="1"/>
  <c r="O513" i="1"/>
  <c r="O483" i="1"/>
  <c r="P469" i="1"/>
  <c r="P483" i="1" s="1"/>
  <c r="O430" i="1"/>
  <c r="P397" i="1"/>
  <c r="P430" i="1" s="1"/>
  <c r="P444" i="1"/>
  <c r="P452" i="1" s="1"/>
  <c r="O452" i="1"/>
  <c r="P205" i="1"/>
  <c r="O308" i="1"/>
  <c r="O438" i="1"/>
  <c r="P434" i="1"/>
  <c r="P438" i="1" s="1"/>
  <c r="N438" i="1"/>
  <c r="P523" i="1"/>
  <c r="O526" i="1"/>
  <c r="N483" i="1"/>
  <c r="O199" i="1"/>
  <c r="P162" i="1"/>
  <c r="O157" i="1"/>
  <c r="P16" i="1"/>
  <c r="P157" i="1" s="1"/>
  <c r="N199" i="1"/>
  <c r="N308" i="1"/>
  <c r="P308" i="1"/>
  <c r="P199" i="1"/>
  <c r="N513" i="1"/>
  <c r="P503" i="1"/>
  <c r="P535" i="1" s="1"/>
  <c r="N503" i="1"/>
  <c r="N520" i="1"/>
  <c r="N526" i="1"/>
  <c r="P526" i="1"/>
  <c r="P513" i="1"/>
  <c r="N391" i="1"/>
  <c r="P391" i="1"/>
  <c r="N157" i="1"/>
  <c r="O535" i="1" l="1"/>
  <c r="N535" i="1"/>
</calcChain>
</file>

<file path=xl/sharedStrings.xml><?xml version="1.0" encoding="utf-8"?>
<sst xmlns="http://schemas.openxmlformats.org/spreadsheetml/2006/main" count="1316" uniqueCount="1125">
  <si>
    <t>Утверждаю</t>
  </si>
  <si>
    <t>Директор ООО УК ЖКХ "Авиастроительного района"</t>
  </si>
  <si>
    <t>Смета расходов на пятнадцатиэтажный жилой дом с плоской крышей</t>
  </si>
  <si>
    <t>№ ПП</t>
  </si>
  <si>
    <t>КОД</t>
  </si>
  <si>
    <t>НАЗВАНИЕ РАБОТЫ</t>
  </si>
  <si>
    <t>ИЗМЕРИТЕЛЬ</t>
  </si>
  <si>
    <t>КОЛ-ВО ЕД. ИЗМ.</t>
  </si>
  <si>
    <t>ПЕРИОДИЧ- НОСТЬ В ГОД</t>
  </si>
  <si>
    <t>ТРУД. РЕСУРСЫ, РУБ.</t>
  </si>
  <si>
    <t>МАТЕР. РЕСУРСЫ, РУБ.</t>
  </si>
  <si>
    <t>МАШ. МЕХ., РУБ.</t>
  </si>
  <si>
    <t>НАКЛ. РАСХОДЫ, РУБ.</t>
  </si>
  <si>
    <t>ПРИБЫЛЬ, РУБ.</t>
  </si>
  <si>
    <t>РАСХОДЫ НА УПРАВ., РУБ.</t>
  </si>
  <si>
    <t>СТОИМОСТЬ, РУБ.</t>
  </si>
  <si>
    <t>НА КВ.М/МЕС</t>
  </si>
  <si>
    <t>Техническое обслуживание и ремонт жилого здания</t>
  </si>
  <si>
    <t>Дата изменения:</t>
  </si>
  <si>
    <t>Общая площадь, кв.м:</t>
  </si>
  <si>
    <t>1.1</t>
  </si>
  <si>
    <t>Фундаменты</t>
  </si>
  <si>
    <t>1.1.4</t>
  </si>
  <si>
    <t>Прочистка внутридомовых и наружных  дренажей</t>
  </si>
  <si>
    <t>1 пролет</t>
  </si>
  <si>
    <t>1.1.8</t>
  </si>
  <si>
    <t>Восстановление (ремонт)  решеток на  продухах  фундамента</t>
  </si>
  <si>
    <t>100 решеток</t>
  </si>
  <si>
    <t>1.1.9</t>
  </si>
  <si>
    <t>Восстановление (ремонт)  приямков</t>
  </si>
  <si>
    <t>кв.м. приямка</t>
  </si>
  <si>
    <t>1.1.10</t>
  </si>
  <si>
    <t>Восстановление (ремонт) отмостки</t>
  </si>
  <si>
    <t>100 м2 отмостки</t>
  </si>
  <si>
    <t>1.1.12</t>
  </si>
  <si>
    <t>Восстановление (ремонт) вводов инженерных коммуникаций   в подвальные  помещения  через  фундаменты</t>
  </si>
  <si>
    <t>100 шт.</t>
  </si>
  <si>
    <t>1.1.14</t>
  </si>
  <si>
    <t>Заделка на зиму вентиляционных продухов</t>
  </si>
  <si>
    <t>1 место</t>
  </si>
  <si>
    <t>1.2</t>
  </si>
  <si>
    <t>Кирпичные, каменные и железобетонные стены</t>
  </si>
  <si>
    <t>1.2.1</t>
  </si>
  <si>
    <t>Устранение повреждений стен, в том числе в подвалах и чердаках</t>
  </si>
  <si>
    <t>1.2.1.1</t>
  </si>
  <si>
    <t>Устранение  повреждений кирпичных  стен, в том  числе в  подвалах и  чердаках</t>
  </si>
  <si>
    <t>1.2.1.1.4</t>
  </si>
  <si>
    <t>Ремонт кирпичной кладки карниза (с выносом в 2 1/2 кирпича)</t>
  </si>
  <si>
    <t>1 м3 кладки</t>
  </si>
  <si>
    <t>1.2.1.1.5</t>
  </si>
  <si>
    <t>Ремонт поверхности кирпичных стен</t>
  </si>
  <si>
    <t>1.2.1.1.5.1</t>
  </si>
  <si>
    <t>Ремонт поверхности кирпичных стен с расшивкой швов и толщиной заделки до 1/2 кирпича</t>
  </si>
  <si>
    <t>100 м2 отремонтированной поверхности</t>
  </si>
  <si>
    <t>1.2.1.1.5.2</t>
  </si>
  <si>
    <t>Ремонт поверхности кирпичных стен с расшивкой швов и толщиной заделки до 1 кирпича</t>
  </si>
  <si>
    <t>1.2.1.1.5.5</t>
  </si>
  <si>
    <t>Заделка борозд в кирпичных стенах</t>
  </si>
  <si>
    <t>1.2.1.1.5.5.3</t>
  </si>
  <si>
    <t>Заделка борозд в кирпичных стенах с сечением борозд  в кирпичах 1х1,5</t>
  </si>
  <si>
    <t>100 м борозды</t>
  </si>
  <si>
    <t>1.2.1.1.5.8</t>
  </si>
  <si>
    <t>Ремонт наружных углов кирпичных стен</t>
  </si>
  <si>
    <t>1.2.1.1.5.8.1</t>
  </si>
  <si>
    <t>Ремонт наружных углов кирпичных стен при толщине заделки до 1/2 кирпича</t>
  </si>
  <si>
    <t>100 м2  отремонтированной поверхности</t>
  </si>
  <si>
    <t>1.2.1.1.5.8.2</t>
  </si>
  <si>
    <t>Ремонт наружных углов кирпичных стен при толщине заделки до 1  кирпича</t>
  </si>
  <si>
    <t>1.2.5</t>
  </si>
  <si>
    <t>Восстановление несущей способности  стен</t>
  </si>
  <si>
    <t>1.2.5.6</t>
  </si>
  <si>
    <t>Усиление кирпичных стен металлическими тяжами</t>
  </si>
  <si>
    <t>на 1 т металлических тяжей</t>
  </si>
  <si>
    <t>1.2.9</t>
  </si>
  <si>
    <t>Восстановление (ремонт) разрушений и  повреждений отделочного   слоя</t>
  </si>
  <si>
    <t>1.2.9.4</t>
  </si>
  <si>
    <t>Ремонт обыкновенной штукатурки кирпичных и бетонных фасадов</t>
  </si>
  <si>
    <t>1.2.9.4.1</t>
  </si>
  <si>
    <t>Ремонт обыкновенной штукатурки гладких каменных фасадов</t>
  </si>
  <si>
    <t>1.2.9.4.2</t>
  </si>
  <si>
    <t>Ремонт обыкновенной штукатурки гладких бетонных  фасадов</t>
  </si>
  <si>
    <t>1.2.12</t>
  </si>
  <si>
    <t>Окраска  фасадов</t>
  </si>
  <si>
    <t>1.2.12.4</t>
  </si>
  <si>
    <t>Окрашивание фасадов силикатными красками</t>
  </si>
  <si>
    <t>1.2.12.4.1</t>
  </si>
  <si>
    <t>Окрашивание гладких кирпичных фасадов силикатными красками</t>
  </si>
  <si>
    <t>100 м2 обработанной поверхности</t>
  </si>
  <si>
    <t>1.2.17</t>
  </si>
  <si>
    <t>Окраска стен  помещений  общего  пользования</t>
  </si>
  <si>
    <t>1.2.17.4</t>
  </si>
  <si>
    <t>Окрашивание поверхностей стен водоэмульсионными составами</t>
  </si>
  <si>
    <t>1.2.17.4.3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</si>
  <si>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</si>
  <si>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100 м2 окрашиваемой поверхности</t>
  </si>
  <si>
    <t>1.2.18</t>
  </si>
  <si>
    <t>Внутренняя отделка зданий</t>
  </si>
  <si>
    <t>1.2.18.1</t>
  </si>
  <si>
    <t>Ремонт внутренней штукатурки потолков отдельными местами</t>
  </si>
  <si>
    <t>100 кв. м</t>
  </si>
  <si>
    <t>1.2.18.3</t>
  </si>
  <si>
    <t>Перетирка штукатурки поверхности потолков</t>
  </si>
  <si>
    <t>100 кв.м</t>
  </si>
  <si>
    <t>1.2.18.11</t>
  </si>
  <si>
    <t>Окрашивание водоэмульсионными составами поверхностей потолков, ранее окрашенных водоэмульсионной краской с расчисткой старой краски более 35%</t>
  </si>
  <si>
    <t>1.2.18.12</t>
  </si>
  <si>
    <t>Перетирка штукатурки поверхностей стен и перегородок</t>
  </si>
  <si>
    <t>100 м2 поверхности</t>
  </si>
  <si>
    <t>1.2.19</t>
  </si>
  <si>
    <t>Установка групповых металлических почтовых ящиков на 6 отделений</t>
  </si>
  <si>
    <t>1 ящик</t>
  </si>
  <si>
    <t>1.5</t>
  </si>
  <si>
    <t>Перекрытия</t>
  </si>
  <si>
    <t>1.5.1</t>
  </si>
  <si>
    <t>Устранение  повреждений перекрытий</t>
  </si>
  <si>
    <t>1.5.1.2</t>
  </si>
  <si>
    <t>Заделка борозд в бетонных перекрытиях</t>
  </si>
  <si>
    <t>1.5.1.2.3</t>
  </si>
  <si>
    <t>Заделка борозд на потолках  бетонных перекрытий при сечении 10х10</t>
  </si>
  <si>
    <t>1 м3 заделки</t>
  </si>
  <si>
    <t>1.5.6</t>
  </si>
  <si>
    <t>Ремонт  перекрытий,  пораженных  древесными  домовыми  грибками  и/или  дереворазрушающими  насекомыми</t>
  </si>
  <si>
    <t>1.5.6.2</t>
  </si>
  <si>
    <t>Антисептирование древесины с перерывом на просушку</t>
  </si>
  <si>
    <t>1.5.6.2.5</t>
  </si>
  <si>
    <t>Антисептирование древесины  маслянистыми антисептиками в два слоя</t>
  </si>
  <si>
    <t>1.6</t>
  </si>
  <si>
    <t>Полы</t>
  </si>
  <si>
    <t>1.6.1</t>
  </si>
  <si>
    <t>Устранение  повреждений  полов в  местах  общего  пользования  многоквартирного дома</t>
  </si>
  <si>
    <t>1.6.1.1</t>
  </si>
  <si>
    <t>Заделка выбоин в цементных полах</t>
  </si>
  <si>
    <t>кв.м.</t>
  </si>
  <si>
    <t>1.6.4</t>
  </si>
  <si>
    <t>Ремонт полов</t>
  </si>
  <si>
    <t>1.6.4.4</t>
  </si>
  <si>
    <t>Ремонт бетонных полов</t>
  </si>
  <si>
    <t>1.6.4.5</t>
  </si>
  <si>
    <t>Ремонт поверхности цементных полов</t>
  </si>
  <si>
    <t>1.7</t>
  </si>
  <si>
    <t>Перегородки</t>
  </si>
  <si>
    <t>1.7.1</t>
  </si>
  <si>
    <t>Восстановление (ремонт),  модернизация  звукоизоляционных  свойств   перегородок</t>
  </si>
  <si>
    <t>1.7.1.5</t>
  </si>
  <si>
    <t>Заделка трещин, отверстий в кирпичных перегородках цементным раствором</t>
  </si>
  <si>
    <t>10 м трещин</t>
  </si>
  <si>
    <t>1.7.1.8</t>
  </si>
  <si>
    <t>Смена поврежденной обшивки перегородок звукоизоляционными плитами</t>
  </si>
  <si>
    <t>100 кв.м.</t>
  </si>
  <si>
    <t>1.7.4</t>
  </si>
  <si>
    <t>Устранение  повреждений  перегородок,  ликвидация  излишнего  наклона или  выпучивания  перегородок</t>
  </si>
  <si>
    <t>1.7.4.7</t>
  </si>
  <si>
    <t>Укрепление слабодержащихся кирпичей</t>
  </si>
  <si>
    <t> 1 м2  отремонтированной поверхности </t>
  </si>
  <si>
    <t>1.7.5</t>
  </si>
  <si>
    <t>Восстановление  облицовки  перегородок</t>
  </si>
  <si>
    <t>1.7.5.7</t>
  </si>
  <si>
    <t>Восстановление (ремонт) штукатурки кирпичных, железобетонных и гипсокартонных перегородок цементно-известковым раствором площадью отдельных мест до 1 кв.м.</t>
  </si>
  <si>
    <t>1.8</t>
  </si>
  <si>
    <t>Крыши и кровли</t>
  </si>
  <si>
    <t>1.8.1</t>
  </si>
  <si>
    <t>Устранение протечек кровли</t>
  </si>
  <si>
    <t>1.8.1.3</t>
  </si>
  <si>
    <t>Устранение  протечек рулонной кровли</t>
  </si>
  <si>
    <t>1.8.1.3.1</t>
  </si>
  <si>
    <t>Постановка заплат на покрытия из мягкой кровли</t>
  </si>
  <si>
    <t>100 м2 покрытий</t>
  </si>
  <si>
    <t>1.8.2</t>
  </si>
  <si>
    <t>Ремонт, модернизация кровли и крыши</t>
  </si>
  <si>
    <t>1.8.2.2</t>
  </si>
  <si>
    <t>Ремонт, модернизация рулонной кровли</t>
  </si>
  <si>
    <t>1.8.2.2.1</t>
  </si>
  <si>
    <t>Смена мягкой кровли в два слоя отдельными местами</t>
  </si>
  <si>
    <t>100 м2 сменяемого покрытия</t>
  </si>
  <si>
    <t>1.8.2.2.2</t>
  </si>
  <si>
    <t>Смена стальных разжелобков в рулонных  кровлях</t>
  </si>
  <si>
    <t>100 м разжелобка</t>
  </si>
  <si>
    <t>1.8.6</t>
  </si>
  <si>
    <t>Восстановление (ремонт)  продухов  вентиляции</t>
  </si>
  <si>
    <t>1.8.6.1</t>
  </si>
  <si>
    <t>Смена вентиляционной решетки</t>
  </si>
  <si>
    <t>10 решеток</t>
  </si>
  <si>
    <t>1.8.6.2</t>
  </si>
  <si>
    <t>Ремонт продухов вентиляции</t>
  </si>
  <si>
    <t>1.8.6.3</t>
  </si>
  <si>
    <t>Окраска продухов вентиляции</t>
  </si>
  <si>
    <t>1.8.7</t>
  </si>
  <si>
    <t>Восстановление (ремонт) дымовых и  вентиляционных труб</t>
  </si>
  <si>
    <t>1.8.7.6</t>
  </si>
  <si>
    <t>Оштукатуривание поверхности дымовых труб</t>
  </si>
  <si>
    <t xml:space="preserve">100 м2 поверхности </t>
  </si>
  <si>
    <t>1.8.9</t>
  </si>
  <si>
    <t>Восстановление (ремонт) выходов на крышу</t>
  </si>
  <si>
    <t>1.8.9.2</t>
  </si>
  <si>
    <t>Окраска деревянных лестниц и  дверей выхода на крышу</t>
  </si>
  <si>
    <t>100 м2 окрашенной поверхности</t>
  </si>
  <si>
    <t>1.8.9.3</t>
  </si>
  <si>
    <t>1.8.10</t>
  </si>
  <si>
    <t>Восстановление (ремонт) парапетов, архитектурных деталей и т.д.</t>
  </si>
  <si>
    <t>1.8.10.1</t>
  </si>
  <si>
    <t>Смена покрытия  парапетов или брандмауэров без обделки боковых сторон при ширине покрытия до 1 м</t>
  </si>
  <si>
    <t>100 м</t>
  </si>
  <si>
    <t>1.8.10.3</t>
  </si>
  <si>
    <t>Смена покрытия   зонтов и козырьков над крыльцами и подъездами</t>
  </si>
  <si>
    <t>100 м2 объема работ</t>
  </si>
  <si>
    <t>1.8.12</t>
  </si>
  <si>
    <t>Ремонт примыканий и заделка стыков</t>
  </si>
  <si>
    <t>1.8.12.1</t>
  </si>
  <si>
    <t>Смена обделок примыканий из листовой стали к каменным стенам</t>
  </si>
  <si>
    <t>1.8.12.4</t>
  </si>
  <si>
    <t>Смена обделок примыканий из листовой стали к  вытяжным  трубам длиной до 1 м</t>
  </si>
  <si>
    <t>100 труб</t>
  </si>
  <si>
    <t>1.8.13</t>
  </si>
  <si>
    <t>Ремонт, утепление дверей с лестничных площадок на чердак</t>
  </si>
  <si>
    <t>1.8.13.1</t>
  </si>
  <si>
    <t>Масляная окраска ранее окрашенных поверхностей</t>
  </si>
  <si>
    <t>1.8.13.2</t>
  </si>
  <si>
    <t>Восстановление тепловой изоляции дверей</t>
  </si>
  <si>
    <t>100 дверей</t>
  </si>
  <si>
    <t>1.8.13.3</t>
  </si>
  <si>
    <t>Замена обивки дверей стальным листом</t>
  </si>
  <si>
    <t>100  м2 двери</t>
  </si>
  <si>
    <t>1.8.14</t>
  </si>
  <si>
    <t>Утепление кровли</t>
  </si>
  <si>
    <t>1.8.14.2</t>
  </si>
  <si>
    <t>Утепление покрытий плитами из минеральной ваты или перлита на битумной мастике на каждый последующий слой толщиной 50 мм</t>
  </si>
  <si>
    <t>100 кв.м утепляемой поверхности</t>
  </si>
  <si>
    <t>1.9</t>
  </si>
  <si>
    <t>Оконные и дверные проемы</t>
  </si>
  <si>
    <t>1.9.1</t>
  </si>
  <si>
    <t>Восстановление (ремонт) дверей в помещениях  общего  пользования</t>
  </si>
  <si>
    <t>1.9.1.4</t>
  </si>
  <si>
    <t>Ремонт дверных коробок в узких каменных стенах</t>
  </si>
  <si>
    <t>10 коробок</t>
  </si>
  <si>
    <t>1.9.1.10</t>
  </si>
  <si>
    <t>Смена дверных петель при одной сменяемой петле в полотне</t>
  </si>
  <si>
    <t>10 петель</t>
  </si>
  <si>
    <t>1.9.1.11</t>
  </si>
  <si>
    <t>Смена дверных петель при двух сменяемых петлях в полотне</t>
  </si>
  <si>
    <t>1.9.1.15</t>
  </si>
  <si>
    <t>Укрепление наличников дверных проемов</t>
  </si>
  <si>
    <t>1 п.м. наличника</t>
  </si>
  <si>
    <t>1.9.1.17</t>
  </si>
  <si>
    <t>Смена ручки дверной</t>
  </si>
  <si>
    <t>1 ручка</t>
  </si>
  <si>
    <t>1.9.1.18</t>
  </si>
  <si>
    <t>Смена щеколды</t>
  </si>
  <si>
    <t>100 щеколд</t>
  </si>
  <si>
    <t>1.9.1.19</t>
  </si>
  <si>
    <t>Смена замков накладных</t>
  </si>
  <si>
    <t>100 замков</t>
  </si>
  <si>
    <t>1.9.1.20</t>
  </si>
  <si>
    <t>Смена замков врезных</t>
  </si>
  <si>
    <t>1.9.2</t>
  </si>
  <si>
    <t>Восстановление (ремонт)  окон в  помещениях общего  пользования</t>
  </si>
  <si>
    <t>1.9.2.4</t>
  </si>
  <si>
    <t>Ремонт оконных переплетов узких одинарных коробок</t>
  </si>
  <si>
    <t>10 створок</t>
  </si>
  <si>
    <t>1.9.2.11</t>
  </si>
  <si>
    <t>Смена оконных петель при двух сменяемых петлях в створке</t>
  </si>
  <si>
    <t>1.9.2.22</t>
  </si>
  <si>
    <t>Временная замена разбитого стекла фанерой</t>
  </si>
  <si>
    <t>10 кв.м.</t>
  </si>
  <si>
    <t>1.9.2.23</t>
  </si>
  <si>
    <t>Смена ручки оконной</t>
  </si>
  <si>
    <t>100 ручек</t>
  </si>
  <si>
    <t>1.9.2.24</t>
  </si>
  <si>
    <t>Смена задвижки</t>
  </si>
  <si>
    <t>100 задвижек</t>
  </si>
  <si>
    <t>1.9.2.26</t>
  </si>
  <si>
    <t>Улучшенная масляная окраска оконных рам</t>
  </si>
  <si>
    <t>1.9.2.33</t>
  </si>
  <si>
    <t>Остекление оконным стеклом окон в два переплета открывающихся в одну сторону</t>
  </si>
  <si>
    <t>100 м2 площади проемов по наружному обводу коробок</t>
  </si>
  <si>
    <t>1.10</t>
  </si>
  <si>
    <t>Лестницы</t>
  </si>
  <si>
    <t>1.10.1</t>
  </si>
  <si>
    <t>Ремонт  металлических косоуров</t>
  </si>
  <si>
    <t>1.10.1.2</t>
  </si>
  <si>
    <t>Оштукатуривание металлических косоуров</t>
  </si>
  <si>
    <t>100 м2 оштукатуренной поверхности</t>
  </si>
  <si>
    <t>1.10.3</t>
  </si>
  <si>
    <t>Ремонт  ограждений,  поручней и  предохранительных  сеток</t>
  </si>
  <si>
    <t>1.10.3.1</t>
  </si>
  <si>
    <t>Ремонт металлических лестничных решеток</t>
  </si>
  <si>
    <t>100 м решетки</t>
  </si>
  <si>
    <t>1.10.4</t>
  </si>
  <si>
    <t>Ремонт,  замена  перил</t>
  </si>
  <si>
    <t>1.10.4.1</t>
  </si>
  <si>
    <t>Смена отдельных частей поручней</t>
  </si>
  <si>
    <t>1.10.4.1.1</t>
  </si>
  <si>
    <t>Смена прямых  частей поручней</t>
  </si>
  <si>
    <t>1.10.4.1.2</t>
  </si>
  <si>
    <t>Смена закругленных  частей поручней</t>
  </si>
  <si>
    <t>1.10.5</t>
  </si>
  <si>
    <t>Окраска  металлических  элементов  лестниц</t>
  </si>
  <si>
    <t>1.10.5.2</t>
  </si>
  <si>
    <t>Окраска масляными составами ранее окрашенных металлических решеток без рельефа за 2 раза</t>
  </si>
  <si>
    <t xml:space="preserve"> 100 м2 окрашиваемой поверхности</t>
  </si>
  <si>
    <t>1.10.6</t>
  </si>
  <si>
    <t>Ремонт  пандусов</t>
  </si>
  <si>
    <t>1.10.6.1</t>
  </si>
  <si>
    <t>Заделка трещин и мелких выбоин</t>
  </si>
  <si>
    <t>100 мест</t>
  </si>
  <si>
    <t>1.10.7</t>
  </si>
  <si>
    <t>Прочие работы по ремонту лестниц</t>
  </si>
  <si>
    <t>1.10.7.1</t>
  </si>
  <si>
    <t>Окрашивание масляными составами торцов лестничных маршей и площадок</t>
  </si>
  <si>
    <t>1.10.7.2</t>
  </si>
  <si>
    <t>Окрашивание масляными составами деревянных поручней</t>
  </si>
  <si>
    <t>100  м поручня</t>
  </si>
  <si>
    <t>1.10.7.3</t>
  </si>
  <si>
    <t>Заделка выбоин в каменных ступенях</t>
  </si>
  <si>
    <t>100 м2 заделанной поверхности</t>
  </si>
  <si>
    <t>2.6</t>
  </si>
  <si>
    <t>Подготовка многоквартирного дома к сезонной эксплуатации, проведение технических осмотров</t>
  </si>
  <si>
    <t>2.6.3</t>
  </si>
  <si>
    <t>Замена разбитых стекол окон и дверей в помещениях общего пользования</t>
  </si>
  <si>
    <t>2.6.3.4</t>
  </si>
  <si>
    <t>Смена стекол на штапиках по замазке</t>
  </si>
  <si>
    <t>100 м фальца</t>
  </si>
  <si>
    <t>2.6.6</t>
  </si>
  <si>
    <t>Проверка состояния и ремонт продухов в цоколях зданий</t>
  </si>
  <si>
    <t>2.6.6.1</t>
  </si>
  <si>
    <t>Оштукатуривание продухов</t>
  </si>
  <si>
    <t xml:space="preserve">  1 м2 ремонтируемой поверхности</t>
  </si>
  <si>
    <t>2.6.6.2</t>
  </si>
  <si>
    <t>Перетирка штукатурки поверхностей</t>
  </si>
  <si>
    <t>2.6.6.3</t>
  </si>
  <si>
    <t>Окраска  продухов</t>
  </si>
  <si>
    <t>100 м2 ремонтируемой поверхности</t>
  </si>
  <si>
    <t>2.6.8</t>
  </si>
  <si>
    <t>Проведение технических осмотров и мелкий ремонт стен, полов, перекрытий</t>
  </si>
  <si>
    <t>2.6.8.1</t>
  </si>
  <si>
    <t>Осмотр территории вокруг здания и фундамента</t>
  </si>
  <si>
    <t>1000 кв.м. общей площади</t>
  </si>
  <si>
    <t>2.6.8.2</t>
  </si>
  <si>
    <t>Осмотр кирпичных и железобетонных стен, фасадов</t>
  </si>
  <si>
    <t>2.6.8.6</t>
  </si>
  <si>
    <t>Осмотр железобетонных перекрытий</t>
  </si>
  <si>
    <t>1000 кв.м. полов</t>
  </si>
  <si>
    <t>2.6.8.8</t>
  </si>
  <si>
    <t>Осмотр внутренней отделки стен</t>
  </si>
  <si>
    <t>2.6.8.9</t>
  </si>
  <si>
    <t>Осмотр заполнения дверных и оконных проемов</t>
  </si>
  <si>
    <t>2.6.9</t>
  </si>
  <si>
    <t>Осмотр всех элементов кровли, водостоков</t>
  </si>
  <si>
    <t>2.6.9.1</t>
  </si>
  <si>
    <t>Осмотр всех элементов стальных кровель, водостоков</t>
  </si>
  <si>
    <t>1000 кв.м. кровли</t>
  </si>
  <si>
    <t>3.2</t>
  </si>
  <si>
    <t>Обслуживание земельного участка, входящего в состав общего имущества многоквартирного дома</t>
  </si>
  <si>
    <t>3.2.4</t>
  </si>
  <si>
    <t>Подрезка деревьев и кустов</t>
  </si>
  <si>
    <t>3.2.4.1</t>
  </si>
  <si>
    <t>Формовочная обрезка деревьев высотой более 5 м</t>
  </si>
  <si>
    <t>100 деревьев</t>
  </si>
  <si>
    <t>3.2.4.2</t>
  </si>
  <si>
    <t>Вырезка сухих ветвей и поросли</t>
  </si>
  <si>
    <t>3.2.4.4</t>
  </si>
  <si>
    <t>Формирование кроны кустарников</t>
  </si>
  <si>
    <t>1000 кустов</t>
  </si>
  <si>
    <t>3.2.4.7</t>
  </si>
  <si>
    <t>Формовочная обрезка деревьев высотой до 5 м</t>
  </si>
  <si>
    <t>3.2.9</t>
  </si>
  <si>
    <t>Очистка кровли</t>
  </si>
  <si>
    <t>3.2.9.2</t>
  </si>
  <si>
    <t>Очистка кровли от снега, сбивание сосулек (при толщине слоя до 20 см) с парапетов</t>
  </si>
  <si>
    <t>100 кв.м. кровли</t>
  </si>
  <si>
    <t>Плановый ремонт подъездов</t>
  </si>
  <si>
    <t>Ремонт подъездов</t>
  </si>
  <si>
    <t>ИТОГО:</t>
  </si>
  <si>
    <t>Техническое обслуживание и ремонт внутридомовых систем электроснабжения и электрооборудования</t>
  </si>
  <si>
    <t>1.1.7</t>
  </si>
  <si>
    <t>Восстановление (ремонт)  освещения и  вентиляции  подвала</t>
  </si>
  <si>
    <t>1.1.7.2</t>
  </si>
  <si>
    <t>Замена неисправных участков сети электрической сети (открытая проводка) при числе и сечении жил в проводе 2х1,5 и 2х2,5 кв.м</t>
  </si>
  <si>
    <t>100 пог.м</t>
  </si>
  <si>
    <t>1.1.7.3</t>
  </si>
  <si>
    <t>Замена ламп накаливания</t>
  </si>
  <si>
    <t>1.1.7.4</t>
  </si>
  <si>
    <t>Замена выключателей</t>
  </si>
  <si>
    <t>1.1.7.5</t>
  </si>
  <si>
    <t>Замена патронов</t>
  </si>
  <si>
    <t>1.1.7.7</t>
  </si>
  <si>
    <t>Замена неисправных участков сети электрической сети (открытая проводка) при числе и сечении жил в проводе 3х2,5 кв.м</t>
  </si>
  <si>
    <t>100 пог. м</t>
  </si>
  <si>
    <t>2.5</t>
  </si>
  <si>
    <t>Внутридомовое электро-, радио- и телеоборудование</t>
  </si>
  <si>
    <t>2.5.1</t>
  </si>
  <si>
    <t>Ремонт,  замена  шкафов  вводных и  вводно-распределительных устройств</t>
  </si>
  <si>
    <t>2.5.1.2</t>
  </si>
  <si>
    <t>Замена автоматического выключателя</t>
  </si>
  <si>
    <t>1 автоматический выключатель</t>
  </si>
  <si>
    <t>2.5.1.4</t>
  </si>
  <si>
    <t>Замена предохранителя</t>
  </si>
  <si>
    <t>1 предохранитель</t>
  </si>
  <si>
    <t>2.5.1.5</t>
  </si>
  <si>
    <t>Замена рубильника</t>
  </si>
  <si>
    <t>1 рубильник</t>
  </si>
  <si>
    <t>2.5.1.8</t>
  </si>
  <si>
    <t>Замена магнитного пускателя</t>
  </si>
  <si>
    <t>1 пускатель</t>
  </si>
  <si>
    <t>2.5.1.10</t>
  </si>
  <si>
    <t>Ремонт устройства автоматического выключения резерва</t>
  </si>
  <si>
    <t>1 устройство АВР</t>
  </si>
  <si>
    <t>2.5.2</t>
  </si>
  <si>
    <t>Ремонт,  замена  аппаратуры  защиты,  контроля и   управления  общего  пользования</t>
  </si>
  <si>
    <t>2.5.2.1</t>
  </si>
  <si>
    <t>Ремонт грозозащитного устройства</t>
  </si>
  <si>
    <t>1 устройство</t>
  </si>
  <si>
    <t>2.5.2.5</t>
  </si>
  <si>
    <t>Замена автомата</t>
  </si>
  <si>
    <t>1 автомат</t>
  </si>
  <si>
    <t>2.5.3</t>
  </si>
  <si>
    <t>Ремонт  внутридомового электрооборудования  общего  пользования</t>
  </si>
  <si>
    <t>2.5.3.1</t>
  </si>
  <si>
    <t>Замена электромагнитного контактора</t>
  </si>
  <si>
    <t>1 контактор</t>
  </si>
  <si>
    <t>2.5.4</t>
  </si>
  <si>
    <t>Ремонт, замена  внутридомовых электрических сетей</t>
  </si>
  <si>
    <t>1000 пог.м.</t>
  </si>
  <si>
    <t>2.5.5</t>
  </si>
  <si>
    <t>Ремонт, замена этажных  щитков и  шкафов</t>
  </si>
  <si>
    <t>2.5.5.2</t>
  </si>
  <si>
    <t>Ремонт щитков</t>
  </si>
  <si>
    <t>1 щит</t>
  </si>
  <si>
    <t>2.5.6</t>
  </si>
  <si>
    <t>Ремонт,  замена  приборов  учета и регулирования общего   пользования</t>
  </si>
  <si>
    <t>2.5.6.8</t>
  </si>
  <si>
    <t>Обслуживание однофазных счетчиков электроэнергии</t>
  </si>
  <si>
    <t>100 счетчиков</t>
  </si>
  <si>
    <t>2.5.6.9</t>
  </si>
  <si>
    <t>Обслуживание трехфазных счетчиков электроэнергии</t>
  </si>
  <si>
    <t>2.5.7</t>
  </si>
  <si>
    <t>Ремонт,  замена  осветительных установок  помещений   общего  пользования</t>
  </si>
  <si>
    <t>2.5.7.1</t>
  </si>
  <si>
    <t>Замена выключателя</t>
  </si>
  <si>
    <t>1 выключатель</t>
  </si>
  <si>
    <t>2.5.7.2</t>
  </si>
  <si>
    <t>Замена светильника с лампами накаливания или энергосберегающими лампами</t>
  </si>
  <si>
    <t>1 светильник</t>
  </si>
  <si>
    <t>2.5.7.4</t>
  </si>
  <si>
    <t>Ремонт светильника с лампами накаливания или энергосберегающими лампами</t>
  </si>
  <si>
    <t>2.5.7.6</t>
  </si>
  <si>
    <t>Замена лампы накаливания на энергосберегательную</t>
  </si>
  <si>
    <t>1 лампа</t>
  </si>
  <si>
    <t>2.5.7.8</t>
  </si>
  <si>
    <t>Замена светильника на светильник светодиодный с датчиком движения</t>
  </si>
  <si>
    <t>2.5.7.9</t>
  </si>
  <si>
    <t>Замена светильника на светодиодный светильник</t>
  </si>
  <si>
    <t>2.5.9</t>
  </si>
  <si>
    <t>Ремонт штепсельных розеток и выключателей</t>
  </si>
  <si>
    <t>100 розеток (выключателей)</t>
  </si>
  <si>
    <t>2.6.13</t>
  </si>
  <si>
    <t>Проведение технических осмотров и устранение незначительных неисправностей в   электротехнических устройствах</t>
  </si>
  <si>
    <t>2.6.13.1</t>
  </si>
  <si>
    <t>Осмотр  электросети, арматуры, электрооборудования на лестничных клетках</t>
  </si>
  <si>
    <t>100 лестничных площадок</t>
  </si>
  <si>
    <t>2.6.13.3</t>
  </si>
  <si>
    <t>Проверка изоляции электропроводки и ее укрепление</t>
  </si>
  <si>
    <t>2.6.13.4</t>
  </si>
  <si>
    <t>Проверка заземления оболочки электрокабеля</t>
  </si>
  <si>
    <t>2.6.13.5</t>
  </si>
  <si>
    <t>Замеры сопротивления изоляции проводов</t>
  </si>
  <si>
    <t xml:space="preserve">измерение 1         </t>
  </si>
  <si>
    <t>Техническое обслуживание внутридомовых систем водоснабжения и канализации</t>
  </si>
  <si>
    <t>2.2</t>
  </si>
  <si>
    <t>Системы холодного и горячего водоснабжения</t>
  </si>
  <si>
    <t>2.2.1</t>
  </si>
  <si>
    <t>Ремонт,  замена  внутридомовых сетей водоснабжения</t>
  </si>
  <si>
    <t>2.2.1.2</t>
  </si>
  <si>
    <t>Смена отдельных участков трубопроводов  водоснабжения из стальных водогазопроводных оцинкованных труб при соединении труб  на сварке</t>
  </si>
  <si>
    <t>2.2.1.2.1</t>
  </si>
  <si>
    <t>Смена отдельных участков трубопроводов водоснабжения из стальных водогазопроводных оцинкованных труб диаметром 40 мм</t>
  </si>
  <si>
    <t>100 м трубопроводов</t>
  </si>
  <si>
    <t>2.2.1.2.2</t>
  </si>
  <si>
    <t>Смена отдельных участков трубопроводов  водоснабжения из стальных водогазопроводных оцинкованных труб диаметром 50 мм</t>
  </si>
  <si>
    <t>2.2.1.2.3</t>
  </si>
  <si>
    <t>Смена отдельных участков трубопроводов  водоснабжения из стальных водогазопроводных оцинкованных труб диаметром 65 мм</t>
  </si>
  <si>
    <t>2.2.1.2.4</t>
  </si>
  <si>
    <t>Смена отдельных участков трубопроводов  водоснабжения из стальных водогазопроводных оцинкованных труб диаметром 80 мм</t>
  </si>
  <si>
    <t>2.2.1.2.5</t>
  </si>
  <si>
    <t>Смена отдельных участков трубопроводов  водоснабжения из стальных водогазопроводных оцинкованных труб диаметром 100 мм</t>
  </si>
  <si>
    <t>2.2.1.6</t>
  </si>
  <si>
    <t>Временная заделка свищей и трещин на внутренних трубопроводах и стояках</t>
  </si>
  <si>
    <t>2.2.1.6.1</t>
  </si>
  <si>
    <t>Временная заделка свищей и трещин на внутренних трубопроводах и стояках при диаметре трубопровода до 50 мм</t>
  </si>
  <si>
    <t>2.2.1.6.2</t>
  </si>
  <si>
    <t>Временная заделка свищей и трещин на внутренних трубопроводах и стояках при диаметре трубопровода до 75 мм</t>
  </si>
  <si>
    <t>2.2.1.6.3</t>
  </si>
  <si>
    <t>Временная заделка свищей и трещин на внутренних трубопроводах и стояках при диаметре трубопровода до 100 мм</t>
  </si>
  <si>
    <t>2.2.1.7</t>
  </si>
  <si>
    <t>Смена сгонов у трубопроводов</t>
  </si>
  <si>
    <t>2.2.1.7.1</t>
  </si>
  <si>
    <t>Смена сгонов у трубопроводов диаметром до 20 мм</t>
  </si>
  <si>
    <t>100 сгонов</t>
  </si>
  <si>
    <t>2.2.1.7.2</t>
  </si>
  <si>
    <t>Смена сгонов у трубопроводов диаметром до 32 мм</t>
  </si>
  <si>
    <t>2.2.1.7.3</t>
  </si>
  <si>
    <t>Смена сгонов у трубопроводов диаметром до 50 мм</t>
  </si>
  <si>
    <t>2.2.1.8</t>
  </si>
  <si>
    <t>Уплотнение сгонов</t>
  </si>
  <si>
    <t>2.2.1.8.1</t>
  </si>
  <si>
    <t>Уплотнение сгонов с применением льняной пряди или асбестового шнура (без разборки сгонов) диаметром до 20 мм</t>
  </si>
  <si>
    <t>1 сгон</t>
  </si>
  <si>
    <t>2.2.1.8.2</t>
  </si>
  <si>
    <t>Уплотнение сгонов с применением льняной пряди или асбестового шнура (без разборки сгонов) диаметром до 32 мм</t>
  </si>
  <si>
    <t>2.2.1.8.4</t>
  </si>
  <si>
    <t>Уплотнение сгонов с применением ленты ФУМ (без разборки сгонов) диаметром до 50 мм</t>
  </si>
  <si>
    <t>2.2.1.9</t>
  </si>
  <si>
    <t>Прокладка трубопроводов водоснабжения из напорных полиэтиленовых труб низкого давления среднего типа</t>
  </si>
  <si>
    <t>2.2.1.9.4</t>
  </si>
  <si>
    <t>Прокладка трубопроводов водоснабжения из напорных полиэтиленовых труб низкого давления среднего типа наружным диаметром 40 мм</t>
  </si>
  <si>
    <t>100 м трубопровода</t>
  </si>
  <si>
    <t>2.2.1.9.5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</si>
  <si>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</si>
  <si>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2.2.1.9.6</t>
  </si>
  <si>
    <t>Прокладка трубопроводов водоснабжения из напорных полиэтиленовых труб низкого давления среднего типа наружным диаметром 63 мм</t>
  </si>
  <si>
    <t>2.2.1.9.7</t>
  </si>
  <si>
    <t>Прокладка трубопроводов водоснабжения из напорных полиэтиленовых труб низкого давления среднего типа наружным диаметром 75 мм</t>
  </si>
  <si>
    <t>2.2.1.9.8</t>
  </si>
  <si>
    <t>Прокладка трубопроводов водоснабжения из напорных полиэтиленовых труб низкого давления среднего типа наружным диаметром 90 мм</t>
  </si>
  <si>
    <t>2.2.1.9.9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</si>
  <si>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</si>
  <si>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2.2.2</t>
  </si>
  <si>
    <t>Ремонт, замена, проверка приборов учета воды</t>
  </si>
  <si>
    <t>2.2.2.1</t>
  </si>
  <si>
    <t>Ремонт приборов учета воды</t>
  </si>
  <si>
    <t>2.2.2.1.9</t>
  </si>
  <si>
    <t>Обслуживание преобразователя расхода от 50 до  100 мм</t>
  </si>
  <si>
    <t>1 преобразователь расхода</t>
  </si>
  <si>
    <t>2.2.2.2</t>
  </si>
  <si>
    <t>Замена прибора учета воды</t>
  </si>
  <si>
    <t>2.2.2.2.1</t>
  </si>
  <si>
    <t>Замена прибора учета воды с фильтром</t>
  </si>
  <si>
    <t>Счетчик воды</t>
  </si>
  <si>
    <t>2.2.2.2.2</t>
  </si>
  <si>
    <t>Замена прибора учета воды без фильтра</t>
  </si>
  <si>
    <t>2.2.3</t>
  </si>
  <si>
    <t>Ремонт  бойлеров,  котлов  подготовки  горячей воды</t>
  </si>
  <si>
    <t>2.2.3.1</t>
  </si>
  <si>
    <t>Проверка и ремонт  водяных теплообменников и водонагревателей</t>
  </si>
  <si>
    <t>2.2.3.1.3</t>
  </si>
  <si>
    <t>Теплообменник (водонагреватель)  поверхностью нагрева  до 25 кв.м</t>
  </si>
  <si>
    <t>1  теплообменник (бойлер)</t>
  </si>
  <si>
    <t>2.2.3.2</t>
  </si>
  <si>
    <t>Специальные работы и изготовление деталей</t>
  </si>
  <si>
    <t>2.2.3.2.2</t>
  </si>
  <si>
    <t>Очистка труб от накипи с двух сторон или райберовка отверстий трубной доски</t>
  </si>
  <si>
    <t>труба (отверстие)</t>
  </si>
  <si>
    <t>2.2.3.4</t>
  </si>
  <si>
    <t>Снятие и установка корпуса теплообменника</t>
  </si>
  <si>
    <t>корпус</t>
  </si>
  <si>
    <t>2.2.3.6</t>
  </si>
  <si>
    <t>Замена дефектных трубок пучка</t>
  </si>
  <si>
    <t>2.2.3.6.2</t>
  </si>
  <si>
    <t>Замена дефектных трубок пучка теплообменника с поверхностью нагрева до 75 кв.м</t>
  </si>
  <si>
    <t>1 трубка</t>
  </si>
  <si>
    <t>2.2.3.8</t>
  </si>
  <si>
    <t>Гидравлическое испытание теплообменника</t>
  </si>
  <si>
    <t>2.2.3.8.2</t>
  </si>
  <si>
    <t>Гидравлическое испытание теплообменника (водонагревателя)  поверхностью нагрева  до 75 кв.м</t>
  </si>
  <si>
    <t>1 теплообменник (бойлер)</t>
  </si>
  <si>
    <t>2.2.3.9</t>
  </si>
  <si>
    <t>Замена трубчатого или змеевикового  теплообменного аппарата</t>
  </si>
  <si>
    <t>2.2.3.9.1</t>
  </si>
  <si>
    <t>Замена трубчатого или змеевикового  теплообменного аппарата при весе пучка до 100 кг</t>
  </si>
  <si>
    <t>2.2.4</t>
  </si>
  <si>
    <t>Теплоизоляция сетей  горячего  водоснабжения</t>
  </si>
  <si>
    <t>100 м2 утепленного участка</t>
  </si>
  <si>
    <t>2.2.5</t>
  </si>
  <si>
    <t>Окраска  сетей и  устройств  горячего  водоснабжения</t>
  </si>
  <si>
    <t>2.2.5.1</t>
  </si>
  <si>
    <t>Окраска масляными составами ранее окрашенных поверхностей стальных труб</t>
  </si>
  <si>
    <t>2.2.5.1.2</t>
  </si>
  <si>
    <t>Окраска масляными составами ранее окрашенных поверхностей  стальных труб горячего водоснабжения за 2 раза</t>
  </si>
  <si>
    <t>2.2.6</t>
  </si>
  <si>
    <t>Ремонт оборудования, приборов и арматуры водопроводной сети общего пользования</t>
  </si>
  <si>
    <t>2.2.6.1</t>
  </si>
  <si>
    <t>Смена вентилей и клапанов обратных муфтовых диаметром до 20 мм</t>
  </si>
  <si>
    <t>2.2.6.2</t>
  </si>
  <si>
    <t>Смена вентилей и клапанов обратных муфтовых диаметром до 32  мм</t>
  </si>
  <si>
    <t>2.2.6.3</t>
  </si>
  <si>
    <t>Смена вентилей и клапанов обратных муфтовых диаметром до 50  мм</t>
  </si>
  <si>
    <t>2.2.6.4</t>
  </si>
  <si>
    <t>Смена задвижек диаметром до 50 мм</t>
  </si>
  <si>
    <t>2.2.6.5</t>
  </si>
  <si>
    <t>Смена задвижек диаметром до 100 мм</t>
  </si>
  <si>
    <t>2.3</t>
  </si>
  <si>
    <t>Система водоотведения</t>
  </si>
  <si>
    <t>2.3.1</t>
  </si>
  <si>
    <t>Смена отдельных участков трубопроводов канализации из полиэтиленовых труб высокой плотности</t>
  </si>
  <si>
    <t>2.3.1.1</t>
  </si>
  <si>
    <t>Смена горизонтальных участков трубопроводов канализации из полиэтиленовых труб высокой плотности диаметром 50 мм</t>
  </si>
  <si>
    <t>2.3.1.2</t>
  </si>
  <si>
    <t>Смена горизонтальных участков трубопроводов канализации из полиэтиленовых труб высокой плотности диаметром 100 мм</t>
  </si>
  <si>
    <t>2.3.1.3</t>
  </si>
  <si>
    <t>Смена вертикальных участков трубопроводов канализации из полиэтиленовых труб высокой плотности диаметром 50 мм</t>
  </si>
  <si>
    <t>2.3.1.4</t>
  </si>
  <si>
    <t>Смена вертикальных участков трубопроводов канализации из полиэтиленовых труб высокой плотности диаметром 100 мм</t>
  </si>
  <si>
    <t>2.3.2</t>
  </si>
  <si>
    <t>Смена отдельных участков внутренних чугунных канализационных труб и выпусков</t>
  </si>
  <si>
    <t>2.3.2.1</t>
  </si>
  <si>
    <t>Смена отдельных участков  чугунных труб и внутренних чугунных канализационных выпусков при диаметре канализационного выпуска 50 мм</t>
  </si>
  <si>
    <t>2.3.2.2</t>
  </si>
  <si>
    <t>Смена отдельных участков чугунных труб и  внутренних чугунных канализационных выпусков при диаметре канализационного выпуска 100 мм</t>
  </si>
  <si>
    <t>2.3.3</t>
  </si>
  <si>
    <t>Подчеканка раструбов канализационных труб</t>
  </si>
  <si>
    <t>2.3.3.3</t>
  </si>
  <si>
    <t>Подчеканка раструбов чугунных канализационных труб</t>
  </si>
  <si>
    <t>2.3.3.3.1</t>
  </si>
  <si>
    <t>Подчеканка раструбов чугунных  канализационных труб диаметром до 50 мм</t>
  </si>
  <si>
    <t>100  раструбов</t>
  </si>
  <si>
    <t>2.3.4</t>
  </si>
  <si>
    <t>Устранение засоров внутренних канализационных трубопроводов</t>
  </si>
  <si>
    <t>100 м трубы</t>
  </si>
  <si>
    <t>2.3.5</t>
  </si>
  <si>
    <t>Заделка стыков соединений стояков внутренних водостоков</t>
  </si>
  <si>
    <t>100 соединений</t>
  </si>
  <si>
    <t>2.3.7</t>
  </si>
  <si>
    <t>Набивка сальников компенсационных патрубков на стояках внутренних водостоков</t>
  </si>
  <si>
    <t>100 патрубков</t>
  </si>
  <si>
    <t>2.3.8</t>
  </si>
  <si>
    <t>Очистка стальной щеткой старых чугунных труб и фасонных частей от нароста и грязи</t>
  </si>
  <si>
    <t>2.3.8.1</t>
  </si>
  <si>
    <t>Очистка стальной щеткой старых чугунных труб и фасонных частей от нароста и грязи при диаметре трубопровода до 50 мм</t>
  </si>
  <si>
    <t>1 м трубопровода</t>
  </si>
  <si>
    <t>2.3.8.3</t>
  </si>
  <si>
    <t>Очистка стальной щеткой старых чугунных труб и фасонных частей от нароста и грязи при диаметре трубопровода до 100 мм</t>
  </si>
  <si>
    <t>2.3.9</t>
  </si>
  <si>
    <t>Окраска масляными составами ранее окрашенных поверхностей стальных и чугунных труб</t>
  </si>
  <si>
    <t>2.3.9.2</t>
  </si>
  <si>
    <t>Окраска масляными составами ранее окрашенных поверхностей  чугунных труб за 2 раза</t>
  </si>
  <si>
    <t>2.3.11</t>
  </si>
  <si>
    <t>Разборка трубопроводов из чугунных канализационных труб</t>
  </si>
  <si>
    <t>2.3.11.1</t>
  </si>
  <si>
    <t>Разборка трубопроводов из чугунных канализационных труб диаметром 50 мм</t>
  </si>
  <si>
    <t>100 м трубопровода с фасонными частями</t>
  </si>
  <si>
    <t>2.3.11.2</t>
  </si>
  <si>
    <t>Разборка трубопроводов из чугунных канализационных труб диаметром 100 мм</t>
  </si>
  <si>
    <t>2.6.11</t>
  </si>
  <si>
    <t>Проведение технических осмотров и устранение незначительных неисправностей в  системах водоснабжения и  водоотведения</t>
  </si>
  <si>
    <t>2.6.11.1</t>
  </si>
  <si>
    <t>Осмотр водопровода, канализации и горячего водоснабжения</t>
  </si>
  <si>
    <t>100 квартир</t>
  </si>
  <si>
    <t>2.6.11.2</t>
  </si>
  <si>
    <t>Промывка участка водопровода</t>
  </si>
  <si>
    <t>100 куб.м. здания</t>
  </si>
  <si>
    <t>2.6.11.3</t>
  </si>
  <si>
    <t>Прочистка канализационного лежака</t>
  </si>
  <si>
    <t>100 м канализационного лежака</t>
  </si>
  <si>
    <t>2.6.11.4</t>
  </si>
  <si>
    <t>Проверка исправности  канализационных  вытяжек</t>
  </si>
  <si>
    <t>2.6.15</t>
  </si>
  <si>
    <t>Проверка и ремонт коллективных приборов  учета</t>
  </si>
  <si>
    <t>2.6.15.1</t>
  </si>
  <si>
    <t>Проверка и обслуживание приборов учета воды диаметром 25-40 мм</t>
  </si>
  <si>
    <t>2.6.15.1.1</t>
  </si>
  <si>
    <t>Визуальный осмотр узла учета и проверка наличия и нарушения пломб (прибор учета воды диаметром 25-40 мм)</t>
  </si>
  <si>
    <t>1 прибор учета</t>
  </si>
  <si>
    <t>2.6.15.1.2</t>
  </si>
  <si>
    <t>Снятие и запись показаний с вычислителя в журнал (прибор учета воды диаметром 25-40 мм)</t>
  </si>
  <si>
    <t>2.6.15.1.3</t>
  </si>
  <si>
    <t>Составление акта (при нарушении правил эксплуатации прибора учета воды диаметром 25-40 мм) с представителями абонента и поставщиком</t>
  </si>
  <si>
    <t>2.6.15.1.4</t>
  </si>
  <si>
    <t>Проверка работоспособности запорной арматуры и очистка фильтров (приборов учета воды диаметром 25-40 мм)</t>
  </si>
  <si>
    <t>1 фильтр</t>
  </si>
  <si>
    <t>2.6.15.1.5</t>
  </si>
  <si>
    <t>Установка фильтра для очистки воды (приборов учета воды диаметром 25-40 мм)</t>
  </si>
  <si>
    <t>2.6.15.1.6</t>
  </si>
  <si>
    <t>Запуск воды с общего вентиля к счетчику (приборов учета воды диаметром 25-40 мм)</t>
  </si>
  <si>
    <t>2.6.15.1.7</t>
  </si>
  <si>
    <t>При отказе или неисправной работе прибора учета воды диаметром 25-40 мм - поиск неисправностей</t>
  </si>
  <si>
    <t>2.6.15.1.8</t>
  </si>
  <si>
    <t>Проверка работоспособности водозапорной арматуры приборов учета воды диаметром 25-40 мм</t>
  </si>
  <si>
    <t>2.6.15.2</t>
  </si>
  <si>
    <t>Проверка и обслуживание коллективных приборов учета воды диаметром 50-250 мм</t>
  </si>
  <si>
    <t>2.6.15.2.1</t>
  </si>
  <si>
    <t>Визуальный осмотр прибора учета воды диаметром 50-250 мм и проверка наличия и нарушения пломб</t>
  </si>
  <si>
    <t>2.6.15.2.2</t>
  </si>
  <si>
    <t>Снятие и запись показаний с вычислителя в журнал (приборов учета воды диаметром 50-250 мм)</t>
  </si>
  <si>
    <t>2.6.15.2.3</t>
  </si>
  <si>
    <t>Составление акта (при нарушении правил эксплуатации прибора учета воды диаметром 50-250 мм)</t>
  </si>
  <si>
    <t>2.6.15.2.4</t>
  </si>
  <si>
    <t>Проверка работоспособности запорной арматуры и очистка фильтров приборов учета воды диаметром 50-250 мм</t>
  </si>
  <si>
    <t>2.6.15.2.5</t>
  </si>
  <si>
    <t>Установка фильтра для очистки воды (приборов учета воды диаметром 50-250 мм)</t>
  </si>
  <si>
    <t>2.6.15.2.6</t>
  </si>
  <si>
    <t>Запуск воды с общего вентиля к счетчику (прибор учета воды диаметром 50-250 мм)</t>
  </si>
  <si>
    <t>2.6.15.2.7</t>
  </si>
  <si>
    <t>При отказе или неисправной работе прибора учета воды диаметром 50-250 мм - поиск неисправностей</t>
  </si>
  <si>
    <t>2.6.15.2.8</t>
  </si>
  <si>
    <t>Проверка работоспособности водозапорной арматуры приборов учета воды диаметром 50-250 мм</t>
  </si>
  <si>
    <t>2.7</t>
  </si>
  <si>
    <t>Устранение аварии и выполнение заявок населения</t>
  </si>
  <si>
    <t>2.7.2</t>
  </si>
  <si>
    <t>Устранение аварии на внутридомовых инженерных сетях и выполнение заявок населения (в домах, не оборудованных газовыми плитами)</t>
  </si>
  <si>
    <t>2.7.2.2</t>
  </si>
  <si>
    <t>Устранение аварии на внутридомовых инженерных сетях при сроке эксплуатации многоквартирного дома от 11 до 30  лет</t>
  </si>
  <si>
    <t>1000 м2  общей площади жилых помещений, не оборудованных газовыми плитами (в год для одной смены)</t>
  </si>
  <si>
    <t>Техническое обслуживание и ремонт внутридомовых систем центрального отопления</t>
  </si>
  <si>
    <t>2.1</t>
  </si>
  <si>
    <t>Система теплоснабжения</t>
  </si>
  <si>
    <t>2.1.2</t>
  </si>
  <si>
    <t>Ремонт,  модернизация внутридомовых отопительных сетей</t>
  </si>
  <si>
    <t>2.1.2.2</t>
  </si>
  <si>
    <t>Смена отдельных участков трубопроводов из стальных электросварных труб</t>
  </si>
  <si>
    <t>2.1.2.2.1</t>
  </si>
  <si>
    <t>Смена отдельных участков трубопроводов из стальных электросварных труб  диаметром 40 мм</t>
  </si>
  <si>
    <t>2.1.2.2.2</t>
  </si>
  <si>
    <t>Смена отдельных участков трубопроводов из стальных электросварных труб   диаметром 50 мм</t>
  </si>
  <si>
    <t>2.1.2.2.3</t>
  </si>
  <si>
    <t>Смена отдельных участков трубопроводов из стальных электросварных труб   диаметром 65 мм</t>
  </si>
  <si>
    <t>2.1.2.2.4</t>
  </si>
  <si>
    <t>Смена отдельных участков трубопроводов из стальных электросварных труб   диаметром  80 мм</t>
  </si>
  <si>
    <t>2.1.2.2.5</t>
  </si>
  <si>
    <t>Смена отдельных участков трубопроводов из стальных электросварных труб диаметром 100 мм</t>
  </si>
  <si>
    <t>2.1.2.3</t>
  </si>
  <si>
    <t xml:space="preserve">Модернизация внутридомовых тепловых сетей путем замены на трубопроводы из многослойных металл-полимерных труб при стояковой системе отопления </t>
  </si>
  <si>
    <t>2.1.2.3.1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</si>
  <si>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20 мм</t>
  </si>
  <si>
    <t>пог.м.</t>
  </si>
  <si>
    <t>2.1.2.3.2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</si>
  <si>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25 мм</t>
  </si>
  <si>
    <t>2.1.2.3.3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</si>
  <si>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32 мм</t>
  </si>
  <si>
    <t>2.1.3</t>
  </si>
  <si>
    <t>Ремонт,  промывка  отопительных  элементов</t>
  </si>
  <si>
    <t>2.1.3.1</t>
  </si>
  <si>
    <t>Смена радиаторных блоков</t>
  </si>
  <si>
    <t>2.1.3.1.2</t>
  </si>
  <si>
    <t>Смена радиаторных блоков, вес радиаторного блока до 80 кг</t>
  </si>
  <si>
    <t>100 радиаторных блоков</t>
  </si>
  <si>
    <t>2.1.3.2</t>
  </si>
  <si>
    <t>Переборка секций радиаторного блока из чугуна</t>
  </si>
  <si>
    <t>100 секций</t>
  </si>
  <si>
    <t>2.1.3.3</t>
  </si>
  <si>
    <t>Переборка секций радиаторного блока из алюминия</t>
  </si>
  <si>
    <t>2.1.3.4</t>
  </si>
  <si>
    <t>Добавление секций к радиаторному блоку</t>
  </si>
  <si>
    <t>2.1.3.4.1</t>
  </si>
  <si>
    <t>Добавление секций к алюминиевому радиаторному блоку</t>
  </si>
  <si>
    <t>2.1.3.4.2</t>
  </si>
  <si>
    <t>Добавление секций к чугунному радиаторному блоку</t>
  </si>
  <si>
    <t>2.1.3.5</t>
  </si>
  <si>
    <t>Прочистка и промывка отопительных приборов</t>
  </si>
  <si>
    <t>2.1.3.5.1</t>
  </si>
  <si>
    <t>Прочистка и промывка отопительных приборов радиаторов весом до 80 кг внутри здания</t>
  </si>
  <si>
    <t>100 приборов</t>
  </si>
  <si>
    <t>2.1.3.5.2</t>
  </si>
  <si>
    <t>Прочистка и промывка отопительных приборов радиаторов весом до 160 кг внутри здания</t>
  </si>
  <si>
    <t>2.1.5</t>
  </si>
  <si>
    <t>Восстановление теплоизоляции  систем  теплоснабжения</t>
  </si>
  <si>
    <t>2.1.5.3</t>
  </si>
  <si>
    <t>Восстановление разрушенной тепловой изоляции</t>
  </si>
  <si>
    <t>2.1.5.3.3</t>
  </si>
  <si>
    <t>Восстановление разрушенной тепловой изоляции минераловатными матами</t>
  </si>
  <si>
    <t>100 м2 восстановленного участка</t>
  </si>
  <si>
    <t>2.1.6</t>
  </si>
  <si>
    <t>Ремонт или  замена  неисправных  приборов  учета и  регулирования</t>
  </si>
  <si>
    <t>2.1.6.2</t>
  </si>
  <si>
    <t>Замена прибора учета</t>
  </si>
  <si>
    <t>прибор</t>
  </si>
  <si>
    <t>2.1.7</t>
  </si>
  <si>
    <t>Ремонт  элеваторного  узла</t>
  </si>
  <si>
    <t>2.1.7.1</t>
  </si>
  <si>
    <t>Ремонт элеваторного узла с выходным проходом 50 мм</t>
  </si>
  <si>
    <t>1 узел</t>
  </si>
  <si>
    <t>2.1.7.2</t>
  </si>
  <si>
    <t>Ремонт элеваторного узла с выходным проходом 80 мм</t>
  </si>
  <si>
    <t>узел</t>
  </si>
  <si>
    <t>2.1.8</t>
  </si>
  <si>
    <t>Ремонт  насосов,  магистральной запорной арматуры,  автоматических устройств</t>
  </si>
  <si>
    <t>2.1.8.1</t>
  </si>
  <si>
    <t>Ремонт центробежных насосов</t>
  </si>
  <si>
    <t>насос</t>
  </si>
  <si>
    <t>2.1.8.4</t>
  </si>
  <si>
    <t>Смена параллельной задвижки</t>
  </si>
  <si>
    <t>2.1.8.4.1</t>
  </si>
  <si>
    <t>Смена параллельной задвижки,  диаметром до 100 мм</t>
  </si>
  <si>
    <t>2.1.8.4.2</t>
  </si>
  <si>
    <t>Смена параллельной задвижки,  диаметром до 150 мм</t>
  </si>
  <si>
    <t>2.1.8.4.3</t>
  </si>
  <si>
    <t>Смена параллельной задвижки,  диаметром до 200 мм</t>
  </si>
  <si>
    <t>2.1.8.5</t>
  </si>
  <si>
    <t>Снятие, прочистка и установка параллельной задвижки</t>
  </si>
  <si>
    <t>2.1.8.5.1</t>
  </si>
  <si>
    <t>Снятие, прочистка и установка параллельной задвижки диаметром  100 мм</t>
  </si>
  <si>
    <t>2.1.8.5.2</t>
  </si>
  <si>
    <t>Снятие, прочистка и установка параллельной задвижки диаметром  150 мм</t>
  </si>
  <si>
    <t>2.1.8.5.3</t>
  </si>
  <si>
    <t>Снятие, прочистка и установка параллельной задвижки диаметром  200 мм</t>
  </si>
  <si>
    <t>2.1.8.6</t>
  </si>
  <si>
    <t>Смена кранов двойной регулировки</t>
  </si>
  <si>
    <t>2.1.8.6.3</t>
  </si>
  <si>
    <t>Смена кранов двойной регулировки диаметром прохода 32 мм</t>
  </si>
  <si>
    <t>100 кранов</t>
  </si>
  <si>
    <t>2.1.8.7</t>
  </si>
  <si>
    <t>Смена пробковых кранов</t>
  </si>
  <si>
    <t>2.1.8.7.3</t>
  </si>
  <si>
    <t>Смена пробковых кранов диаметром свыше 26-50 мм</t>
  </si>
  <si>
    <t>2.1.8.8</t>
  </si>
  <si>
    <t>Смена вентиля</t>
  </si>
  <si>
    <t>2.1.8.8.3</t>
  </si>
  <si>
    <t>Смена вентиля диаметром свыше 26 до 50  мм</t>
  </si>
  <si>
    <t>100 вентилей</t>
  </si>
  <si>
    <t>2.1.9</t>
  </si>
  <si>
    <t>Модернизация системы отопления и горячего водоснабжения</t>
  </si>
  <si>
    <t>2.1.9.3</t>
  </si>
  <si>
    <t>Установка термостатических вентилей на радиаторах</t>
  </si>
  <si>
    <t>2.1.9.3.1</t>
  </si>
  <si>
    <t>Установка термостатических вентилей на радиаторах, диаметром 10-15 мм</t>
  </si>
  <si>
    <t>1 прибор</t>
  </si>
  <si>
    <t>2.1.9.3.2</t>
  </si>
  <si>
    <t>Установка термостатических вентилей на радиаторах, диаметром 20 мм</t>
  </si>
  <si>
    <t>2.1.9.4</t>
  </si>
  <si>
    <t>Установка запорных вентилей на радиаторах</t>
  </si>
  <si>
    <t>2.1.9.4.1</t>
  </si>
  <si>
    <t>Установка запорных вентилей на радиаторах, диаметром 10-15 мм</t>
  </si>
  <si>
    <t>2.1.9.4.2</t>
  </si>
  <si>
    <t>Установка запорных вентилей на радиаторах, диаметром 20 мм</t>
  </si>
  <si>
    <t>2.1.10</t>
  </si>
  <si>
    <t>Обслуживание систем диспетчеризации и автоматизированной системы коммерческого учета энергии (АСКУЭ) без учета обслуживания серверов</t>
  </si>
  <si>
    <t>1 АРМ</t>
  </si>
  <si>
    <t>2.6.14</t>
  </si>
  <si>
    <t>Проведение технических осмотров и устранение незначительных неисправностей в  системе   теплоснабжения</t>
  </si>
  <si>
    <t>2.6.14.1</t>
  </si>
  <si>
    <t>Осмотр системы центрального отопления</t>
  </si>
  <si>
    <t>2.6.14.1.2</t>
  </si>
  <si>
    <t>Осмотр устройства системы центрального отопления в чердачных и подвальных помещениях</t>
  </si>
  <si>
    <t>1000 м2 осматриваемых помещений</t>
  </si>
  <si>
    <t>2.6.14.3</t>
  </si>
  <si>
    <t>Гидравлическое испытание трубопроводов систем центрального отопления (расконсервация)</t>
  </si>
  <si>
    <t>2.6.14.3.1</t>
  </si>
  <si>
    <t>Первое рабочее испытание отдельных частей системы при диаметре трубопровода до 50 мм</t>
  </si>
  <si>
    <t>2.6.14.3.2</t>
  </si>
  <si>
    <t>Рабочая проверка системы в целом при диаметре трубопровода до 50 мм</t>
  </si>
  <si>
    <t>2.6.14.3.3</t>
  </si>
  <si>
    <t>Окончательная проверка при сдаче системы при диаметре трубопровода до 50 мм</t>
  </si>
  <si>
    <t>2.6.14.3.4</t>
  </si>
  <si>
    <t>Первое рабочее испытание отдельных частей системы при диаметре трубопровода до 100 мм</t>
  </si>
  <si>
    <t>2.6.14.3.5</t>
  </si>
  <si>
    <t>Рабочая проверка системы в целом при диаметре трубопровода до 100 мм</t>
  </si>
  <si>
    <t>2.6.14.3.6</t>
  </si>
  <si>
    <t>Окончательная проверка при сдаче системы при диаметре трубопровода до 100 мм</t>
  </si>
  <si>
    <t>2.6.14.3.10</t>
  </si>
  <si>
    <t>Проверка на прогрев отопительных приборов с регулировкой</t>
  </si>
  <si>
    <t>2.6.14.4</t>
  </si>
  <si>
    <t>Промывка трубопроводов системы центрального отопления</t>
  </si>
  <si>
    <t>2.6.14.4.1</t>
  </si>
  <si>
    <t>Промывка трубопроводов системы центрального отопления до 50 мм</t>
  </si>
  <si>
    <t>10 м трубопровода (100 м3 здания)</t>
  </si>
  <si>
    <t>2.6.14.4.2</t>
  </si>
  <si>
    <t>Промывка трубопроводов системы центрального отопления до 100 мм</t>
  </si>
  <si>
    <t>2.6.15.3</t>
  </si>
  <si>
    <t>Проверка и обслуживание коллективных узлов учета тепловой энергии диаметром 25-40 мм</t>
  </si>
  <si>
    <t>2.6.15.3.1</t>
  </si>
  <si>
    <t>Визуальный осмотр и проверка наличия и нарушения пломб (узел учета тепловой энергии диаметром 25-40 мм)</t>
  </si>
  <si>
    <t>1 узел учета</t>
  </si>
  <si>
    <t>2.6.15.3.2</t>
  </si>
  <si>
    <t>Снятие и запись показаний с вычислителя в журнал (узел учета тепловой энергии диаметром 25-40 мм)</t>
  </si>
  <si>
    <t>2.6.15.3.3</t>
  </si>
  <si>
    <t>Составление акта (при нарушении правил эксплуатации прибора) (узел учета тепловой энергии диаметром 25-40 мм)</t>
  </si>
  <si>
    <t>2.6.15.4</t>
  </si>
  <si>
    <t>Проверка и обслуживание коллективных узлов учета тепловой энергии диаметром 50-250 мм</t>
  </si>
  <si>
    <t>2.6.15.4.1</t>
  </si>
  <si>
    <t>Визуальный осмотр и проверка наличия и нарушения пломб (узел учета тепловой энергии диаметром 50-250 мм)</t>
  </si>
  <si>
    <t>2.6.15.4.2</t>
  </si>
  <si>
    <t>Снятие и запись показаний с вычислителя в журнал (узел учета тепловой энергии диаметром 50-250 мм)</t>
  </si>
  <si>
    <t>2.6.15.4.3</t>
  </si>
  <si>
    <t>Составление акта (при нарушении правил эксплуатации прибора) (узел учета тепловой энергии диаметром 50-250 мм)</t>
  </si>
  <si>
    <t>2.6.15.4.4</t>
  </si>
  <si>
    <t>Проверка работоспособности запорной арматуры и очистка фильтра (узел учета тепловой энергии диаметром 50-250 мм)</t>
  </si>
  <si>
    <t>Техническое обслуживание и ремонт внутридомовых систем газового оборудования</t>
  </si>
  <si>
    <t>2.4</t>
  </si>
  <si>
    <t>Система газоснабжения</t>
  </si>
  <si>
    <t>2.4.1</t>
  </si>
  <si>
    <t>Ремонт внутридомовых сетей  газоснабжения</t>
  </si>
  <si>
    <t>2.4.1.1</t>
  </si>
  <si>
    <t>Техническое обслуживание внутридомовых газопроводов</t>
  </si>
  <si>
    <t>2.4.1.1.2</t>
  </si>
  <si>
    <t>Техническое обслуживание внутридомовых газопроводов диаметром 25-50 мм</t>
  </si>
  <si>
    <t>100 пог. м.</t>
  </si>
  <si>
    <t>2.4.1.1.3</t>
  </si>
  <si>
    <t>Техническое обслуживание внутридомовых газопроводов диаметром 50-75 мм</t>
  </si>
  <si>
    <t>2.4.1.2</t>
  </si>
  <si>
    <t>Устранение неплотности соединений газопровода</t>
  </si>
  <si>
    <t>2.4.1.2.2</t>
  </si>
  <si>
    <t>Устранение неплотности соединений газопровода диаметром 25 мм</t>
  </si>
  <si>
    <t>1 соединение</t>
  </si>
  <si>
    <t>2.4.1.2.3</t>
  </si>
  <si>
    <t>Устранение неплотности соединений газопровода диаметром 32 мм</t>
  </si>
  <si>
    <t>2.4.1.2.4</t>
  </si>
  <si>
    <t>Устранение неплотности соединений газопровода диаметром 40 мм</t>
  </si>
  <si>
    <t>2.4.1.2.5</t>
  </si>
  <si>
    <t>Устранение неплотности соединений газопровода диаметром 50 мм</t>
  </si>
  <si>
    <t>2.4.1.3</t>
  </si>
  <si>
    <t>Замена газового крана</t>
  </si>
  <si>
    <t>2.4.1.3.2</t>
  </si>
  <si>
    <t>Замена газового крана диаметром 25 и 32 мм</t>
  </si>
  <si>
    <t>1 кран</t>
  </si>
  <si>
    <t>2.4.1.4</t>
  </si>
  <si>
    <t>Ремонт неисправного участка газопровода</t>
  </si>
  <si>
    <t>2.4.1.4.1</t>
  </si>
  <si>
    <t>Ремонт неисправного участка газопровода диаметром 15 мм</t>
  </si>
  <si>
    <t>1 участок</t>
  </si>
  <si>
    <t>2.4.1.4.2</t>
  </si>
  <si>
    <t>Ремонт неисправного участка газопровода диаметром 25 и 32 мм</t>
  </si>
  <si>
    <t>2.4.1.4.3</t>
  </si>
  <si>
    <t>Ремонт неисправного участка газопровода диаметром 40 мм</t>
  </si>
  <si>
    <t>2.4.1.4.4</t>
  </si>
  <si>
    <t>Ремонт неисправного участка газопровода диаметром 50 мм</t>
  </si>
  <si>
    <t>2.4.1.5</t>
  </si>
  <si>
    <t>Проверка работоспособности и смазка отключающих устройств</t>
  </si>
  <si>
    <t>2.4.2</t>
  </si>
  <si>
    <t>Внутридомовое и (или) внутриквартирное газовое оборудование</t>
  </si>
  <si>
    <t>2.4.2.1</t>
  </si>
  <si>
    <t>Ремонт,  замена  неисправных  приборов  учета и  регулирования</t>
  </si>
  <si>
    <t>2.4.2.1.2</t>
  </si>
  <si>
    <t>2.4.2.3</t>
  </si>
  <si>
    <t>Визуальная проверка (осмотр) газового оборудования</t>
  </si>
  <si>
    <t>1 оборудование</t>
  </si>
  <si>
    <t>2.4.2.4</t>
  </si>
  <si>
    <t>Проверка герметичности соединений и отключающих устройств</t>
  </si>
  <si>
    <t>2.4.2.5</t>
  </si>
  <si>
    <t>Разборка и смазка кранов</t>
  </si>
  <si>
    <t>2.4.2.8</t>
  </si>
  <si>
    <t>Инструктаж потребителей газа по безопасному использованию газа при удовлетворении коммунально-бытовых нужд</t>
  </si>
  <si>
    <t>1 квартира</t>
  </si>
  <si>
    <t>2.4.2.9</t>
  </si>
  <si>
    <t>Техническое обслуживание внутридомового газового оборудования домовладений и многоквартирных домов</t>
  </si>
  <si>
    <t>2.4.2.9.3</t>
  </si>
  <si>
    <t>Проверка герметичности внутридомового газопровода и технологических устройств на нем при количестве приборов на одном стояке 11-15 шт.</t>
  </si>
  <si>
    <t>стояк</t>
  </si>
  <si>
    <t>2.4.2.9.5</t>
  </si>
  <si>
    <t>Проверка на герметичность фланцевых, резьбовых соединений и сварных стыков на газопроводе в подъезде здания при диаметре до 32 мм</t>
  </si>
  <si>
    <t>10 шт.</t>
  </si>
  <si>
    <t>2.4.2.9.6</t>
  </si>
  <si>
    <t>Проверка на герметичность фланцевых, резьбовых соединений и сварных стыков на газопроводе в подъезде здания при диаметре 33 - 40 мм</t>
  </si>
  <si>
    <t>2.4.2.9.7</t>
  </si>
  <si>
    <t>Проверка на герметичность фланцевых, резьбовых соединений и сварных стыков на газопроводе в подъезде здания при диаметре 41 - 50 мм</t>
  </si>
  <si>
    <t>2.4.2.9.8</t>
  </si>
  <si>
    <t>Проверка герметичности фасадного газопровода</t>
  </si>
  <si>
    <t>м</t>
  </si>
  <si>
    <t>2.4.2.9.9</t>
  </si>
  <si>
    <t>Техническое обслуживание внутриквартирной газовой разводки</t>
  </si>
  <si>
    <t>шт.</t>
  </si>
  <si>
    <t>2.4.2.9.10</t>
  </si>
  <si>
    <t>Техническое обслуживание внутридомового газопровода в домовладении</t>
  </si>
  <si>
    <t>2.4.2.9.11</t>
  </si>
  <si>
    <t>Обход и осмотр трассы наружного (подземного, надземного) газопровода</t>
  </si>
  <si>
    <t>км</t>
  </si>
  <si>
    <t>2.4.2.9.15</t>
  </si>
  <si>
    <t>Техническое обслуживание внутридомового газопровода</t>
  </si>
  <si>
    <t>1 погонный метр</t>
  </si>
  <si>
    <t>2.4.2.10</t>
  </si>
  <si>
    <t>Проверка подвального помещения на загазованность</t>
  </si>
  <si>
    <t>1 помещение</t>
  </si>
  <si>
    <t>Техническое обслуживание и ремонт вентиляционных каналов</t>
  </si>
  <si>
    <t>2.6.5</t>
  </si>
  <si>
    <t>Утепление и прочистка дымовентиляционных каналов</t>
  </si>
  <si>
    <t>2.6.12</t>
  </si>
  <si>
    <t>Проведение технических осмотров и устранение незначительных неисправностей в  системах вентиляции</t>
  </si>
  <si>
    <t>2.6.12.1</t>
  </si>
  <si>
    <t>Проверка наличия тяги в  дымовентиляционных каналах</t>
  </si>
  <si>
    <t>2.6.12.2</t>
  </si>
  <si>
    <t>Проведение технических осмотров и устранение незначительных неисправностей в системе вентиляции</t>
  </si>
  <si>
    <t> Техническое обслуживание и ремонт дымоходов</t>
  </si>
  <si>
    <t>1.11</t>
  </si>
  <si>
    <t>Печи</t>
  </si>
  <si>
    <t>1.11.1</t>
  </si>
  <si>
    <t>Ликвидация  неравномерного нагрева  поверхностей</t>
  </si>
  <si>
    <t>1.11.1.1</t>
  </si>
  <si>
    <t>Прочистка дымохода</t>
  </si>
  <si>
    <t>1.11.1.1.1</t>
  </si>
  <si>
    <t>Прочистка дымохода из кирпича горизонтального</t>
  </si>
  <si>
    <t>1.11.4</t>
  </si>
  <si>
    <t>Перекладка  печей</t>
  </si>
  <si>
    <t>1.11.4.1</t>
  </si>
  <si>
    <t>Перекладка дымовых труб</t>
  </si>
  <si>
    <t>1.11.4.1.3</t>
  </si>
  <si>
    <t>Перекладка дымовых труб под крышей с добавлением нового кирпича до 50 % в один канал</t>
  </si>
  <si>
    <t xml:space="preserve">100 м трубы </t>
  </si>
  <si>
    <t> Техническое обслуживание и ремонт систем коллективного приема телевидения</t>
  </si>
  <si>
    <t>2.8</t>
  </si>
  <si>
    <t>Антенное оборудование, сети радио-, телефонные, иные  коммуникационные сети</t>
  </si>
  <si>
    <t>2.8.1</t>
  </si>
  <si>
    <t>Ремонт, установка радио- и телевизионных антенн</t>
  </si>
  <si>
    <t>2.8.1.2</t>
  </si>
  <si>
    <t>Ремонт антенны</t>
  </si>
  <si>
    <t>2.8.1.2.3</t>
  </si>
  <si>
    <t>Ремонт приемной телевизионной антенны метрового диапазона волн, многоканальной, одно-двухэлементной</t>
  </si>
  <si>
    <t>1 антенна</t>
  </si>
  <si>
    <t>2.8.2</t>
  </si>
  <si>
    <t>Обслуживание  антенного  оборудования</t>
  </si>
  <si>
    <t>1000 кв.м.</t>
  </si>
  <si>
    <t>2.8.3</t>
  </si>
  <si>
    <t>Ремонт,  замена  антенного  оборудования</t>
  </si>
  <si>
    <t>2.8.3.1</t>
  </si>
  <si>
    <t>Ремонт (замена) кабеля снижения приемной антенны</t>
  </si>
  <si>
    <t>Уборка мест общего пользования</t>
  </si>
  <si>
    <t>3.1</t>
  </si>
  <si>
    <t>Работы по санитарному содержанию помещений общего пользования, системы мусороудаления и фасадов</t>
  </si>
  <si>
    <t>3.1.1</t>
  </si>
  <si>
    <t>Подметание и мытье полов во всех помещениях  общего пользования, кабинах лифта и их влажная уборка</t>
  </si>
  <si>
    <t>3.1.1.3</t>
  </si>
  <si>
    <t>Подметание и влажная уборка полов во всех помещениях  общего пользования в многоквартирном доме с лифтами без  мусоропроводов</t>
  </si>
  <si>
    <t>3.1.1.3.1</t>
  </si>
  <si>
    <t>Подметание лестничных площадок и маршей</t>
  </si>
  <si>
    <t>3.1.1.3.1.1</t>
  </si>
  <si>
    <t>Подметание лестничных площадок и маршей нижних трех этажей с предварительным их увлажнением (в доме с лифтами без мусоропроводов)</t>
  </si>
  <si>
    <t>100 м2  убираемой  площади</t>
  </si>
  <si>
    <t>3.1.1.3.1.2</t>
  </si>
  <si>
    <t>Подметание лестничных площадок и маршей выше третьего этажа с предварительным их увлажнением  (в доме с лифтами без мусоропроводов)</t>
  </si>
  <si>
    <t>100 м2 убираемой  площади</t>
  </si>
  <si>
    <t>3.1.1.3.2</t>
  </si>
  <si>
    <t>Мытье лестничных площадок и маршей</t>
  </si>
  <si>
    <t>3.1.1.3.2.1</t>
  </si>
  <si>
    <t>Мытье  лестничных площадок и маршей нижних трех этажей  (в доме с лифтами без мусоропроводов)</t>
  </si>
  <si>
    <t>3.1.1.3.2.2</t>
  </si>
  <si>
    <t>Мытье  лестничных площадок и маршей  выше третьего этажа  (в доме с лифтами без мусоропроводов)</t>
  </si>
  <si>
    <t>3.1.3</t>
  </si>
  <si>
    <t>Протирка пыли  с колпаков  светильников, подоконников в помещениях общего  пользования</t>
  </si>
  <si>
    <t>3.1.3.1</t>
  </si>
  <si>
    <t>Протирка пыли  с колпаков  светильников (в подвалах, на чердаках и лестничных клетках)</t>
  </si>
  <si>
    <t>3.1.3.2</t>
  </si>
  <si>
    <t>Протирка пыли  с подоконников в помещениях общего  пользования</t>
  </si>
  <si>
    <t xml:space="preserve">100 м2 подоконников </t>
  </si>
  <si>
    <t>3.1.4</t>
  </si>
  <si>
    <t>Мытье и протирка дверей и окон в помещениях общего пользования, включая двери  мусорных камер</t>
  </si>
  <si>
    <t>3.1.4.1</t>
  </si>
  <si>
    <t>Мытье и протирка дверей  в помещениях общего пользования</t>
  </si>
  <si>
    <t>100 м2 дверей</t>
  </si>
  <si>
    <t>3.1.4.3</t>
  </si>
  <si>
    <t>Мытье и протирка легкодоступных стекол в окнах  в помещениях общего пользования</t>
  </si>
  <si>
    <t>100 м2 окон</t>
  </si>
  <si>
    <t>3.1.9</t>
  </si>
  <si>
    <t>Влажная протирка элементов лестничных клеток</t>
  </si>
  <si>
    <t>3.1.9.1</t>
  </si>
  <si>
    <t>Влажная протирка почтовых ящиков (с моющим средством)</t>
  </si>
  <si>
    <t>100 кв.м почтовых ящиков</t>
  </si>
  <si>
    <t>3.1.11</t>
  </si>
  <si>
    <t>Обметание пыли с потолков</t>
  </si>
  <si>
    <t>100 кв. м. потолков</t>
  </si>
  <si>
    <t>Уборка мест придомовой территории</t>
  </si>
  <si>
    <t>Уборка земельного участка, входящего в состав общего имущества многоквартирного дома</t>
  </si>
  <si>
    <t>3.2.1</t>
  </si>
  <si>
    <t>Подметание  земельного  участка в летний период</t>
  </si>
  <si>
    <t>3.2.1.1</t>
  </si>
  <si>
    <t>Подметание в летний период  земельного участка с усовершенствованным покрытием 1 класса</t>
  </si>
  <si>
    <t>1 000 кв.м. территории</t>
  </si>
  <si>
    <t>3.2.3</t>
  </si>
  <si>
    <t>Уборка и уход за газонами, очистка  урн</t>
  </si>
  <si>
    <t>3.2.3.1</t>
  </si>
  <si>
    <t>Уборка и уход за газонами</t>
  </si>
  <si>
    <t>3.2.3.1.1</t>
  </si>
  <si>
    <t>Уборка газонов средней засоренности от листьев, сучьев, мусора</t>
  </si>
  <si>
    <t>100 000 кв.м. территории</t>
  </si>
  <si>
    <t>3.2.3.1.4</t>
  </si>
  <si>
    <t>Полив газонов</t>
  </si>
  <si>
    <t>на 100 000 кв.м.</t>
  </si>
  <si>
    <t>3.2.3.1.5</t>
  </si>
  <si>
    <t>Стрижка газонов</t>
  </si>
  <si>
    <t>на 100 кв.м.</t>
  </si>
  <si>
    <t>3.2.3.2</t>
  </si>
  <si>
    <t>Содержание урн</t>
  </si>
  <si>
    <t>3.2.3.2.10</t>
  </si>
  <si>
    <t>Очистка опрокидывающихся урн от мусора</t>
  </si>
  <si>
    <t>на 100 урн</t>
  </si>
  <si>
    <t>3.2.7</t>
  </si>
  <si>
    <t>Сдвижка и  подметание снега  при снегопаде</t>
  </si>
  <si>
    <t>3.2.7.1</t>
  </si>
  <si>
    <t>Сдвижка и подметание снега при снегопаде на придомовой территории с усовершенствованным покрытием 1 класса</t>
  </si>
  <si>
    <t>10 000 кв.м. территории</t>
  </si>
  <si>
    <t>3.2.8</t>
  </si>
  <si>
    <t>Ликвидация наледи</t>
  </si>
  <si>
    <t>3.2.8.8</t>
  </si>
  <si>
    <t>Посыпка территории I класса</t>
  </si>
  <si>
    <t>Погрузка снега и скола в автосамосвалы арендованными погрузчиками</t>
  </si>
  <si>
    <t>м3</t>
  </si>
  <si>
    <t>Вывоз снега с придомовой территории</t>
  </si>
  <si>
    <t>Утилизация вывезенного снега</t>
  </si>
  <si>
    <t>Содержание контейнерной площадки</t>
  </si>
  <si>
    <t>3.1.2</t>
  </si>
  <si>
    <t>Обслуживание мусоропроводов</t>
  </si>
  <si>
    <t>3.1.2.5</t>
  </si>
  <si>
    <t>Дезинфекция мусоросборников</t>
  </si>
  <si>
    <t>3.1.2.5.3</t>
  </si>
  <si>
    <t>Дезинфекция мусоросборников (контейнеров)</t>
  </si>
  <si>
    <t>10 контейнеров</t>
  </si>
  <si>
    <t>3.2.14</t>
  </si>
  <si>
    <t>Очистка контейнерной площадки в холодный период</t>
  </si>
  <si>
    <t>3.2.15</t>
  </si>
  <si>
    <t>Уборка мусора на  контейнерных  площадках</t>
  </si>
  <si>
    <t>Дератизация, дезинсекция</t>
  </si>
  <si>
    <t>3.4</t>
  </si>
  <si>
    <t>Прочие работы</t>
  </si>
  <si>
    <t>3.4.1</t>
  </si>
  <si>
    <t>Дератизация чердаков и подвалов</t>
  </si>
  <si>
    <t>3.4.1.4</t>
  </si>
  <si>
    <t>Дератизация чердаков и подвалов с применением крысида - антикоагулянта III поколения</t>
  </si>
  <si>
    <t>1000 м2  обрабатываемых  помещений</t>
  </si>
  <si>
    <t>3.4.2</t>
  </si>
  <si>
    <t>Дезинсекция  подвалов</t>
  </si>
  <si>
    <t>СОИ</t>
  </si>
  <si>
    <t>Холодная вода на СОИ</t>
  </si>
  <si>
    <t>Электрическая энергия на СОИ</t>
  </si>
  <si>
    <t>Горячая вода на СОИ</t>
  </si>
  <si>
    <t>Управление многоквартирным домом</t>
  </si>
  <si>
    <t>в т.ч. ком. услуги:</t>
  </si>
  <si>
    <t>холодная вода на СОИ</t>
  </si>
  <si>
    <t>электрическая энергия на СОИ</t>
  </si>
  <si>
    <t>горячая вода на СОИ</t>
  </si>
  <si>
    <t>ВСЕГО ПО СМЕТЕ:</t>
  </si>
  <si>
    <t>Проверил:</t>
  </si>
  <si>
    <t>Заместитель директора по ЖКХ</t>
  </si>
  <si>
    <t>(подпись)</t>
  </si>
  <si>
    <t>Заместитель директора по экономики</t>
  </si>
  <si>
    <t>С.И. Мухаметзянова</t>
  </si>
  <si>
    <t>Исп.: Н.В. Кириченкова</t>
  </si>
  <si>
    <t>А.В. Кутырев</t>
  </si>
  <si>
    <t>Ю.А. Кузнецов</t>
  </si>
  <si>
    <t>Д.А. Ковалев</t>
  </si>
  <si>
    <t>Стоимость с инфляцией 23,24,25г.г.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</si>
</sst>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0.00"/>
    <numFmt numFmtId="165" formatCode="#,###,##0.00"/>
    <numFmt numFmtId="166" formatCode="#,##0.00_р_.;\-#,##0.00_р_."/>
  </numFmts>
  <fonts count="1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b/>
      <sz val="11"/>
      <color rgb="FFFFFFFF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1"/>
      <color rgb="FF000099"/>
      <name val="Times New Roman"/>
      <family val="1"/>
      <charset val="1"/>
    </font>
    <font>
      <i/>
      <sz val="11"/>
      <name val="Times New Roman"/>
      <family val="1"/>
      <charset val="1"/>
    </font>
    <font>
      <b/>
      <sz val="11"/>
      <name val="Times New Roman"/>
      <family val="1"/>
      <charset val="1"/>
    </font>
    <font>
      <b/>
      <sz val="11"/>
      <color rgb="FF707070"/>
      <name val="Times New Roman"/>
      <family val="1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FFFF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546E7A"/>
        <bgColor rgb="FF707070"/>
      </patternFill>
    </fill>
    <fill>
      <patternFill patternType="solid">
        <fgColor rgb="FFDCE6F1"/>
        <bgColor rgb="FFE0EFD4"/>
      </patternFill>
    </fill>
    <fill>
      <patternFill patternType="solid">
        <fgColor rgb="FFF9F7ED"/>
        <bgColor rgb="FFF2F2F2"/>
      </patternFill>
    </fill>
    <fill>
      <patternFill patternType="solid">
        <fgColor rgb="FFF5F2E0"/>
        <bgColor rgb="FFEBF1DE"/>
      </patternFill>
    </fill>
    <fill>
      <patternFill patternType="solid">
        <fgColor rgb="FFEBF1DE"/>
        <bgColor rgb="FFF5F2E0"/>
      </patternFill>
    </fill>
    <fill>
      <patternFill patternType="solid">
        <fgColor rgb="FFF2F2F2"/>
        <bgColor rgb="FFF9F7ED"/>
      </patternFill>
    </fill>
    <fill>
      <patternFill patternType="solid">
        <fgColor rgb="FFE0EFD4"/>
        <bgColor rgb="FFEBF1DE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 wrapText="1" indent="1"/>
    </xf>
    <xf numFmtId="49" fontId="2" fillId="0" borderId="0" xfId="0" applyNumberFormat="1" applyFont="1" applyAlignment="1">
      <alignment horizontal="left" vertical="top" wrapText="1" inden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indent="1"/>
    </xf>
    <xf numFmtId="164" fontId="2" fillId="0" borderId="0" xfId="0" applyNumberFormat="1" applyFont="1" applyAlignment="1">
      <alignment horizontal="right" vertical="top" indent="1"/>
    </xf>
    <xf numFmtId="2" fontId="2" fillId="0" borderId="0" xfId="0" applyNumberFormat="1" applyFont="1" applyAlignment="1">
      <alignment horizontal="right" vertical="top" indent="1"/>
    </xf>
    <xf numFmtId="0" fontId="3" fillId="0" borderId="0" xfId="0" applyFont="1" applyAlignment="1">
      <alignment horizontal="center" vertical="center" wrapText="1" indent="1"/>
    </xf>
    <xf numFmtId="0" fontId="3" fillId="0" borderId="0" xfId="0" applyFont="1" applyBorder="1" applyAlignment="1">
      <alignment horizontal="center" vertical="center" wrapText="1" indent="1"/>
    </xf>
    <xf numFmtId="49" fontId="3" fillId="0" borderId="0" xfId="0" applyNumberFormat="1" applyFont="1" applyBorder="1" applyAlignment="1">
      <alignment horizontal="center" vertical="center" wrapText="1" indent="1"/>
    </xf>
    <xf numFmtId="164" fontId="3" fillId="0" borderId="0" xfId="0" applyNumberFormat="1" applyFont="1" applyBorder="1" applyAlignment="1">
      <alignment horizontal="center" vertical="center" wrapText="1" indent="1"/>
    </xf>
    <xf numFmtId="2" fontId="3" fillId="0" borderId="0" xfId="0" applyNumberFormat="1" applyFont="1" applyBorder="1" applyAlignment="1">
      <alignment horizontal="center" vertical="center" wrapText="1" indent="1"/>
    </xf>
    <xf numFmtId="0" fontId="3" fillId="2" borderId="2" xfId="0" applyFont="1" applyFill="1" applyBorder="1" applyAlignment="1">
      <alignment horizontal="center" vertical="center" wrapText="1" indent="1"/>
    </xf>
    <xf numFmtId="49" fontId="3" fillId="2" borderId="3" xfId="0" applyNumberFormat="1" applyFont="1" applyFill="1" applyBorder="1" applyAlignment="1">
      <alignment horizontal="center" vertical="center" wrapText="1" indent="1"/>
    </xf>
    <xf numFmtId="0" fontId="3" fillId="2" borderId="3" xfId="0" applyFont="1" applyFill="1" applyBorder="1" applyAlignment="1">
      <alignment horizontal="center" vertical="center" wrapText="1" indent="1"/>
    </xf>
    <xf numFmtId="164" fontId="3" fillId="2" borderId="3" xfId="0" applyNumberFormat="1" applyFont="1" applyFill="1" applyBorder="1" applyAlignment="1">
      <alignment horizontal="center" vertical="center" wrapText="1" indent="1"/>
    </xf>
    <xf numFmtId="2" fontId="3" fillId="2" borderId="4" xfId="0" applyNumberFormat="1" applyFont="1" applyFill="1" applyBorder="1" applyAlignment="1">
      <alignment horizontal="center" vertical="center" wrapText="1" indent="1"/>
    </xf>
    <xf numFmtId="0" fontId="5" fillId="0" borderId="5" xfId="0" applyFont="1" applyBorder="1" applyAlignment="1">
      <alignment horizontal="left" vertical="center" indent="1"/>
    </xf>
    <xf numFmtId="164" fontId="6" fillId="0" borderId="6" xfId="0" applyNumberFormat="1" applyFont="1" applyBorder="1" applyAlignment="1">
      <alignment horizontal="right" indent="1"/>
    </xf>
    <xf numFmtId="164" fontId="6" fillId="0" borderId="8" xfId="0" applyNumberFormat="1" applyFont="1" applyBorder="1" applyAlignment="1">
      <alignment horizontal="right" indent="1"/>
    </xf>
    <xf numFmtId="2" fontId="6" fillId="0" borderId="9" xfId="0" applyNumberFormat="1" applyFont="1" applyBorder="1" applyAlignment="1">
      <alignment horizontal="left" indent="1"/>
    </xf>
    <xf numFmtId="0" fontId="7" fillId="0" borderId="0" xfId="0" applyFont="1"/>
    <xf numFmtId="0" fontId="7" fillId="3" borderId="10" xfId="0" applyFont="1" applyFill="1" applyBorder="1" applyAlignment="1">
      <alignment horizontal="center" vertical="top" wrapText="1" indent="1"/>
    </xf>
    <xf numFmtId="49" fontId="7" fillId="3" borderId="11" xfId="0" applyNumberFormat="1" applyFont="1" applyFill="1" applyBorder="1" applyAlignment="1">
      <alignment horizontal="left" vertical="top" wrapText="1" indent="1"/>
    </xf>
    <xf numFmtId="0" fontId="7" fillId="3" borderId="12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 indent="1"/>
    </xf>
    <xf numFmtId="49" fontId="2" fillId="0" borderId="11" xfId="0" applyNumberFormat="1" applyFont="1" applyBorder="1" applyAlignment="1">
      <alignment horizontal="left" vertical="top" wrapText="1" indent="1"/>
    </xf>
    <xf numFmtId="0" fontId="2" fillId="0" borderId="11" xfId="0" applyFont="1" applyBorder="1" applyAlignment="1">
      <alignment horizontal="left" vertical="top" wrapText="1"/>
    </xf>
    <xf numFmtId="0" fontId="2" fillId="4" borderId="11" xfId="0" applyFont="1" applyFill="1" applyBorder="1" applyAlignment="1">
      <alignment horizontal="center" vertical="top"/>
    </xf>
    <xf numFmtId="0" fontId="2" fillId="5" borderId="11" xfId="0" applyFont="1" applyFill="1" applyBorder="1" applyAlignment="1">
      <alignment horizontal="center" vertical="top"/>
    </xf>
    <xf numFmtId="164" fontId="2" fillId="0" borderId="11" xfId="0" applyNumberFormat="1" applyFont="1" applyBorder="1" applyAlignment="1">
      <alignment horizontal="center" vertical="top"/>
    </xf>
    <xf numFmtId="164" fontId="2" fillId="6" borderId="11" xfId="0" applyNumberFormat="1" applyFont="1" applyFill="1" applyBorder="1" applyAlignment="1">
      <alignment horizontal="center" vertical="top"/>
    </xf>
    <xf numFmtId="2" fontId="2" fillId="0" borderId="12" xfId="0" applyNumberFormat="1" applyFont="1" applyBorder="1" applyAlignment="1">
      <alignment horizontal="center" vertical="top"/>
    </xf>
    <xf numFmtId="0" fontId="8" fillId="0" borderId="0" xfId="0" applyFont="1"/>
    <xf numFmtId="0" fontId="8" fillId="7" borderId="10" xfId="0" applyFont="1" applyFill="1" applyBorder="1" applyAlignment="1">
      <alignment horizontal="center" vertical="top" wrapText="1" indent="1"/>
    </xf>
    <xf numFmtId="49" fontId="8" fillId="7" borderId="11" xfId="0" applyNumberFormat="1" applyFont="1" applyFill="1" applyBorder="1" applyAlignment="1">
      <alignment horizontal="left" vertical="top" wrapText="1" indent="1"/>
    </xf>
    <xf numFmtId="0" fontId="3" fillId="0" borderId="0" xfId="0" applyFont="1" applyAlignment="1">
      <alignment horizontal="right" vertical="center" wrapText="1" indent="1"/>
    </xf>
    <xf numFmtId="0" fontId="3" fillId="2" borderId="2" xfId="0" applyFont="1" applyFill="1" applyBorder="1" applyAlignment="1">
      <alignment horizontal="right" vertical="center" wrapText="1" inden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5" fontId="6" fillId="0" borderId="8" xfId="0" applyNumberFormat="1" applyFont="1" applyBorder="1" applyAlignment="1">
      <alignment horizontal="center"/>
    </xf>
    <xf numFmtId="2" fontId="6" fillId="0" borderId="9" xfId="0" applyNumberFormat="1" applyFont="1" applyBorder="1" applyAlignment="1">
      <alignment horizontal="center"/>
    </xf>
    <xf numFmtId="165" fontId="2" fillId="0" borderId="11" xfId="0" applyNumberFormat="1" applyFont="1" applyBorder="1" applyAlignment="1">
      <alignment horizontal="center" vertical="top"/>
    </xf>
    <xf numFmtId="165" fontId="2" fillId="6" borderId="11" xfId="0" applyNumberFormat="1" applyFont="1" applyFill="1" applyBorder="1" applyAlignment="1">
      <alignment horizontal="center" vertical="top"/>
    </xf>
    <xf numFmtId="165" fontId="3" fillId="2" borderId="3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top"/>
    </xf>
    <xf numFmtId="166" fontId="2" fillId="0" borderId="11" xfId="0" applyNumberFormat="1" applyFont="1" applyBorder="1" applyAlignment="1">
      <alignment horizontal="center" vertical="top"/>
    </xf>
    <xf numFmtId="164" fontId="2" fillId="0" borderId="13" xfId="0" applyNumberFormat="1" applyFont="1" applyBorder="1" applyAlignment="1">
      <alignment horizontal="center" vertical="top"/>
    </xf>
    <xf numFmtId="164" fontId="2" fillId="8" borderId="11" xfId="0" applyNumberFormat="1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0" fontId="7" fillId="3" borderId="12" xfId="0" applyFont="1" applyFill="1" applyBorder="1" applyAlignment="1">
      <alignment horizontal="center" vertical="top" wrapText="1"/>
    </xf>
    <xf numFmtId="166" fontId="2" fillId="5" borderId="11" xfId="0" applyNumberFormat="1" applyFont="1" applyFill="1" applyBorder="1" applyAlignment="1">
      <alignment horizontal="center" vertical="top"/>
    </xf>
    <xf numFmtId="164" fontId="2" fillId="0" borderId="12" xfId="0" applyNumberFormat="1" applyFont="1" applyBorder="1" applyAlignment="1">
      <alignment horizontal="center" vertical="top"/>
    </xf>
    <xf numFmtId="0" fontId="5" fillId="0" borderId="14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166" fontId="1" fillId="0" borderId="11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1" fillId="0" borderId="13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166" fontId="1" fillId="0" borderId="21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0" fontId="4" fillId="0" borderId="5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3" xfId="0" applyFont="1" applyBorder="1" applyAlignment="1">
      <alignment horizontal="center"/>
    </xf>
    <xf numFmtId="166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9" borderId="0" xfId="0" applyFont="1" applyFill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164" fontId="2" fillId="6" borderId="13" xfId="0" applyNumberFormat="1" applyFont="1" applyFill="1" applyBorder="1" applyAlignment="1">
      <alignment horizontal="center" vertical="top"/>
    </xf>
    <xf numFmtId="165" fontId="2" fillId="6" borderId="13" xfId="0" applyNumberFormat="1" applyFont="1" applyFill="1" applyBorder="1" applyAlignment="1">
      <alignment horizontal="center" vertical="top"/>
    </xf>
    <xf numFmtId="164" fontId="2" fillId="8" borderId="13" xfId="0" applyNumberFormat="1" applyFont="1" applyFill="1" applyBorder="1" applyAlignment="1">
      <alignment horizontal="center" vertical="top"/>
    </xf>
    <xf numFmtId="164" fontId="11" fillId="2" borderId="25" xfId="0" applyNumberFormat="1" applyFont="1" applyFill="1" applyBorder="1" applyAlignment="1">
      <alignment horizontal="center" vertical="center" wrapText="1" indent="1"/>
    </xf>
    <xf numFmtId="0" fontId="8" fillId="7" borderId="12" xfId="0" applyFont="1" applyFill="1" applyBorder="1" applyAlignment="1">
      <alignment indent="1"/>
    </xf>
    <xf numFmtId="0" fontId="3" fillId="2" borderId="2" xfId="0" applyFont="1" applyFill="1" applyBorder="1" applyAlignment="1">
      <alignment horizontal="right" vertical="center" wrapText="1" indent="1"/>
    </xf>
    <xf numFmtId="0" fontId="5" fillId="0" borderId="5" xfId="0" applyFont="1" applyBorder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7" fillId="3" borderId="12" xfId="0" applyFont="1" applyFill="1" applyBorder="1" applyAlignment="1">
      <alignment horizontal="left" vertical="top" wrapText="1"/>
    </xf>
    <xf numFmtId="0" fontId="8" fillId="7" borderId="12" xfId="0" applyFont="1" applyFill="1" applyBorder="1" applyAlignment="1">
      <alignment indent="15"/>
    </xf>
    <xf numFmtId="165" fontId="6" fillId="0" borderId="6" xfId="0" applyNumberFormat="1" applyFont="1" applyBorder="1" applyAlignment="1">
      <alignment horizontal="center"/>
    </xf>
    <xf numFmtId="165" fontId="6" fillId="0" borderId="8" xfId="0" applyNumberFormat="1" applyFont="1" applyBorder="1" applyAlignment="1">
      <alignment horizontal="center"/>
    </xf>
    <xf numFmtId="0" fontId="8" fillId="7" borderId="12" xfId="0" applyFont="1" applyFill="1" applyBorder="1" applyAlignment="1">
      <alignment indent="12"/>
    </xf>
    <xf numFmtId="0" fontId="4" fillId="0" borderId="0" xfId="0" applyFont="1" applyBorder="1" applyAlignment="1">
      <alignment horizontal="center"/>
    </xf>
    <xf numFmtId="164" fontId="6" fillId="0" borderId="6" xfId="0" applyNumberFormat="1" applyFont="1" applyBorder="1" applyAlignment="1">
      <alignment horizontal="right" indent="1"/>
    </xf>
    <xf numFmtId="164" fontId="6" fillId="0" borderId="8" xfId="0" applyNumberFormat="1" applyFont="1" applyBorder="1" applyAlignment="1">
      <alignment horizontal="right" indent="1"/>
    </xf>
    <xf numFmtId="14" fontId="6" fillId="0" borderId="7" xfId="0" applyNumberFormat="1" applyFont="1" applyBorder="1" applyAlignment="1">
      <alignment horizontal="left" inden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99"/>
      <rgbColor rgb="FF808000"/>
      <rgbColor rgb="FF800080"/>
      <rgbColor rgb="FF008080"/>
      <rgbColor rgb="FFC0C0C0"/>
      <rgbColor rgb="FF707070"/>
      <rgbColor rgb="FF9999FF"/>
      <rgbColor rgb="FF993366"/>
      <rgbColor rgb="FFF9F7ED"/>
      <rgbColor rgb="FFDCE6F1"/>
      <rgbColor rgb="FF660066"/>
      <rgbColor rgb="FFFF8080"/>
      <rgbColor rgb="FF0066CC"/>
      <rgbColor rgb="FFF2F2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1DE"/>
      <rgbColor rgb="FFE0EFD4"/>
      <rgbColor rgb="FFF5F2E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46E7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547"/>
  <sheetViews>
    <sheetView tabSelected="1" view="pageBreakPreview" topLeftCell="A512" zoomScaleNormal="100" workbookViewId="0">
      <selection activeCell="A512" sqref="A1:XFD1048576"/>
    </sheetView>
  </sheetViews>
  <sheetFormatPr defaultRowHeight="15" x14ac:dyDescent="0.25"/>
  <cols>
    <col min="1" max="1" width="3" style="1" customWidth="1"/>
    <col min="2" max="2" width="6" style="2" customWidth="1"/>
    <col min="3" max="3" width="13" style="3" customWidth="1"/>
    <col min="4" max="4" width="51.5703125" style="4" customWidth="1"/>
    <col min="5" max="5" width="20" style="4" customWidth="1"/>
    <col min="6" max="7" width="12" style="5" customWidth="1"/>
    <col min="8" max="9" width="14" style="6" customWidth="1"/>
    <col min="10" max="10" width="13" style="6" customWidth="1"/>
    <col min="11" max="13" width="14" style="6" customWidth="1"/>
    <col min="14" max="15" width="16" style="6" customWidth="1"/>
    <col min="16" max="16" width="15" style="7" customWidth="1"/>
    <col min="17" max="1026" width="8.7109375" style="1" customWidth="1"/>
  </cols>
  <sheetData>
    <row r="1" spans="2:17" s="8" customFormat="1" x14ac:dyDescent="0.25">
      <c r="B1" s="9"/>
      <c r="C1" s="10"/>
      <c r="D1" s="9"/>
      <c r="E1" s="9"/>
      <c r="F1" s="9"/>
      <c r="G1" s="9"/>
      <c r="H1" s="11"/>
      <c r="I1" s="11"/>
      <c r="J1" s="11"/>
      <c r="K1" s="1"/>
      <c r="L1" s="83"/>
      <c r="M1" s="84" t="s">
        <v>0</v>
      </c>
      <c r="N1" s="83"/>
      <c r="O1" s="83"/>
      <c r="P1" s="83"/>
      <c r="Q1" s="83"/>
    </row>
    <row r="2" spans="2:17" s="8" customFormat="1" x14ac:dyDescent="0.25">
      <c r="B2" s="9"/>
      <c r="C2" s="10"/>
      <c r="D2" s="9"/>
      <c r="E2" s="9"/>
      <c r="F2" s="9"/>
      <c r="G2" s="9"/>
      <c r="H2" s="11"/>
      <c r="I2" s="11"/>
      <c r="J2" s="11"/>
      <c r="K2" s="1"/>
      <c r="L2" s="83"/>
      <c r="M2" s="85" t="s">
        <v>1</v>
      </c>
      <c r="N2" s="83"/>
      <c r="O2" s="83"/>
      <c r="P2" s="83"/>
      <c r="Q2" s="83"/>
    </row>
    <row r="3" spans="2:17" s="8" customFormat="1" x14ac:dyDescent="0.25">
      <c r="B3" s="9"/>
      <c r="C3" s="10"/>
      <c r="D3" s="9"/>
      <c r="E3" s="9"/>
      <c r="F3" s="9"/>
      <c r="G3" s="9"/>
      <c r="H3" s="11"/>
      <c r="I3" s="11"/>
      <c r="J3" s="11"/>
      <c r="K3" s="1"/>
      <c r="L3" s="83"/>
      <c r="M3" s="86"/>
      <c r="N3" s="83"/>
      <c r="O3" s="83"/>
      <c r="P3" s="83"/>
      <c r="Q3" s="83"/>
    </row>
    <row r="4" spans="2:17" s="8" customFormat="1" x14ac:dyDescent="0.25">
      <c r="B4" s="9"/>
      <c r="C4" s="10"/>
      <c r="D4" s="9"/>
      <c r="E4" s="9"/>
      <c r="F4" s="9"/>
      <c r="G4" s="9"/>
      <c r="H4" s="11"/>
      <c r="I4" s="11"/>
      <c r="J4" s="11"/>
      <c r="K4" s="11"/>
      <c r="L4" s="83"/>
      <c r="M4" s="87"/>
      <c r="N4" s="87"/>
      <c r="O4" s="91"/>
      <c r="P4" s="86" t="s">
        <v>1121</v>
      </c>
      <c r="Q4" s="86"/>
    </row>
    <row r="5" spans="2:17" s="8" customFormat="1" ht="14.25" x14ac:dyDescent="0.2">
      <c r="B5" s="9"/>
      <c r="C5" s="10"/>
      <c r="D5" s="105" t="s">
        <v>2</v>
      </c>
      <c r="E5" s="105"/>
      <c r="F5" s="9"/>
      <c r="G5" s="9"/>
      <c r="H5" s="11"/>
      <c r="I5" s="11"/>
      <c r="J5" s="11"/>
      <c r="K5" s="11"/>
      <c r="L5" s="11"/>
      <c r="M5" s="11"/>
      <c r="N5" s="11"/>
      <c r="O5" s="11"/>
      <c r="P5" s="12"/>
    </row>
    <row r="6" spans="2:17" s="8" customFormat="1" ht="14.25" x14ac:dyDescent="0.25"/>
    <row r="7" spans="2:17" s="8" customFormat="1" ht="57" x14ac:dyDescent="0.25">
      <c r="B7" s="13" t="s">
        <v>3</v>
      </c>
      <c r="C7" s="14" t="s">
        <v>4</v>
      </c>
      <c r="D7" s="15" t="s">
        <v>5</v>
      </c>
      <c r="E7" s="15" t="s">
        <v>6</v>
      </c>
      <c r="F7" s="15" t="s">
        <v>7</v>
      </c>
      <c r="G7" s="15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16" t="s">
        <v>13</v>
      </c>
      <c r="M7" s="16" t="s">
        <v>14</v>
      </c>
      <c r="N7" s="16" t="s">
        <v>15</v>
      </c>
      <c r="O7" s="95" t="s">
        <v>1124</v>
      </c>
      <c r="P7" s="17" t="s">
        <v>16</v>
      </c>
    </row>
    <row r="8" spans="2:17" x14ac:dyDescent="0.25">
      <c r="B8" s="98" t="s">
        <v>17</v>
      </c>
      <c r="C8" s="98"/>
      <c r="D8" s="98"/>
      <c r="E8" s="98"/>
      <c r="F8" s="98"/>
      <c r="G8" s="98"/>
      <c r="H8" s="98"/>
      <c r="I8" s="98"/>
      <c r="J8" s="98"/>
      <c r="K8" s="98"/>
      <c r="L8" s="98"/>
      <c r="M8" s="106" t="s">
        <v>18</v>
      </c>
      <c r="N8" s="106"/>
      <c r="O8" s="19"/>
      <c r="P8" s="108">
        <v>46085</v>
      </c>
    </row>
    <row r="9" spans="2:17" x14ac:dyDescent="0.25"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107" t="s">
        <v>19</v>
      </c>
      <c r="N9" s="107"/>
      <c r="O9" s="20"/>
      <c r="P9" s="21">
        <v>5301</v>
      </c>
    </row>
    <row r="10" spans="2:17" s="22" customFormat="1" ht="13.9" customHeight="1" x14ac:dyDescent="0.2">
      <c r="B10" s="23"/>
      <c r="C10" s="24" t="s">
        <v>20</v>
      </c>
      <c r="D10" s="100" t="s">
        <v>21</v>
      </c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</row>
    <row r="11" spans="2:17" x14ac:dyDescent="0.25">
      <c r="B11" s="26">
        <v>1</v>
      </c>
      <c r="C11" s="27" t="s">
        <v>22</v>
      </c>
      <c r="D11" s="28" t="s">
        <v>23</v>
      </c>
      <c r="E11" s="28" t="s">
        <v>24</v>
      </c>
      <c r="F11" s="29">
        <v>1</v>
      </c>
      <c r="G11" s="30">
        <v>1</v>
      </c>
      <c r="H11" s="31">
        <f>F11 * G11 * 499.04682</f>
        <v>499.04682000000003</v>
      </c>
      <c r="I11" s="31">
        <f>F11 * G11 * 0</f>
        <v>0</v>
      </c>
      <c r="J11" s="31">
        <f t="shared" ref="J11:J16" si="0">F11 * G11 * 0</f>
        <v>0</v>
      </c>
      <c r="K11" s="31">
        <f>F11 * G11 * 475.092573</f>
        <v>475.09257300000002</v>
      </c>
      <c r="L11" s="31">
        <f>F11 * G11 * 102.284636</f>
        <v>102.28463600000001</v>
      </c>
      <c r="M11" s="31">
        <f>F11 * G11 * 99.809364</f>
        <v>99.809364000000002</v>
      </c>
      <c r="N11" s="32">
        <f t="shared" ref="N11:N16" si="1">SUM(H11:M11)</f>
        <v>1176.233393</v>
      </c>
      <c r="O11" s="92">
        <f>N11*1.07*1.09*1.05</f>
        <v>1440.4330565686951</v>
      </c>
      <c r="P11" s="33">
        <f>IF($P$9&gt;0,O11/$P$9/12,0)</f>
        <v>2.2644046037991181E-2</v>
      </c>
    </row>
    <row r="12" spans="2:17" ht="30" x14ac:dyDescent="0.25">
      <c r="B12" s="26">
        <v>2</v>
      </c>
      <c r="C12" s="27" t="s">
        <v>25</v>
      </c>
      <c r="D12" s="28" t="s">
        <v>26</v>
      </c>
      <c r="E12" s="28" t="s">
        <v>27</v>
      </c>
      <c r="F12" s="29">
        <v>0.02</v>
      </c>
      <c r="G12" s="30">
        <v>2</v>
      </c>
      <c r="H12" s="31">
        <f>F12 * G12 * 9350.726695</f>
        <v>374.02906780000001</v>
      </c>
      <c r="I12" s="31">
        <f>F12 * G12 * 23734.870938</f>
        <v>949.39483752000001</v>
      </c>
      <c r="J12" s="31">
        <f t="shared" si="0"/>
        <v>0</v>
      </c>
      <c r="K12" s="31">
        <f>F12 * G12 * 8901.89181399999</f>
        <v>356.07567255999959</v>
      </c>
      <c r="L12" s="31">
        <f>F12 * G12 * 4408.686392</f>
        <v>176.34745568</v>
      </c>
      <c r="M12" s="31">
        <f>F12 * G12 * 1870.145339</f>
        <v>74.805813560000004</v>
      </c>
      <c r="N12" s="32">
        <f t="shared" si="1"/>
        <v>1930.6528471199993</v>
      </c>
      <c r="O12" s="92">
        <f t="shared" ref="O12:O16" si="2">N12*1.07*1.09*1.05</f>
        <v>2364.3064363758581</v>
      </c>
      <c r="P12" s="33">
        <f t="shared" ref="P12:P16" si="3">IF($P$9&gt;0,O12/$P$9/12,0)</f>
        <v>3.7167616744888672E-2</v>
      </c>
    </row>
    <row r="13" spans="2:17" x14ac:dyDescent="0.25">
      <c r="B13" s="26">
        <v>3</v>
      </c>
      <c r="C13" s="27" t="s">
        <v>28</v>
      </c>
      <c r="D13" s="28" t="s">
        <v>29</v>
      </c>
      <c r="E13" s="28" t="s">
        <v>30</v>
      </c>
      <c r="F13" s="29">
        <v>1.41</v>
      </c>
      <c r="G13" s="30">
        <v>2</v>
      </c>
      <c r="H13" s="31">
        <f>F13 * G13 * 678.213195</f>
        <v>1912.5612099</v>
      </c>
      <c r="I13" s="31">
        <f>F13 * G13 * 1094.030647</f>
        <v>3085.1664245399998</v>
      </c>
      <c r="J13" s="31">
        <f t="shared" si="0"/>
        <v>0</v>
      </c>
      <c r="K13" s="31">
        <f>F13 * G13 * 645.658962</f>
        <v>1820.7582728399998</v>
      </c>
      <c r="L13" s="31">
        <f>F13 * G13 * 253.879794</f>
        <v>715.94101907999993</v>
      </c>
      <c r="M13" s="31">
        <f>F13 * G13 * 135.642639</f>
        <v>382.51224198</v>
      </c>
      <c r="N13" s="32">
        <f t="shared" si="1"/>
        <v>7916.939168339999</v>
      </c>
      <c r="O13" s="92">
        <f t="shared" si="2"/>
        <v>9695.2024596366882</v>
      </c>
      <c r="P13" s="33">
        <f t="shared" si="3"/>
        <v>0.15241153335277444</v>
      </c>
    </row>
    <row r="14" spans="2:17" x14ac:dyDescent="0.25">
      <c r="B14" s="26">
        <v>4</v>
      </c>
      <c r="C14" s="27" t="s">
        <v>31</v>
      </c>
      <c r="D14" s="28" t="s">
        <v>32</v>
      </c>
      <c r="E14" s="28" t="s">
        <v>33</v>
      </c>
      <c r="F14" s="29">
        <v>0.11</v>
      </c>
      <c r="G14" s="30">
        <v>1</v>
      </c>
      <c r="H14" s="31">
        <f>F14 * G14 * 7479.796585</f>
        <v>822.77762435</v>
      </c>
      <c r="I14" s="31">
        <f>F14 * G14 * 49695.914682</f>
        <v>5466.5506150199999</v>
      </c>
      <c r="J14" s="31">
        <f t="shared" si="0"/>
        <v>0</v>
      </c>
      <c r="K14" s="31">
        <f>F14 * G14 * 7120.76634899999</f>
        <v>783.28429838999898</v>
      </c>
      <c r="L14" s="31">
        <f>F14 * G14 * 6751.13015</f>
        <v>742.62431649999996</v>
      </c>
      <c r="M14" s="31">
        <f>F14 * G14 * 1495.959317</f>
        <v>164.55552487</v>
      </c>
      <c r="N14" s="32">
        <f t="shared" si="1"/>
        <v>7979.7923791299991</v>
      </c>
      <c r="O14" s="92">
        <f t="shared" si="2"/>
        <v>9772.1734443682853</v>
      </c>
      <c r="P14" s="33">
        <f t="shared" si="3"/>
        <v>0.15362154065849659</v>
      </c>
    </row>
    <row r="15" spans="2:17" ht="45" x14ac:dyDescent="0.25">
      <c r="B15" s="26">
        <v>5</v>
      </c>
      <c r="C15" s="27" t="s">
        <v>34</v>
      </c>
      <c r="D15" s="28" t="s">
        <v>35</v>
      </c>
      <c r="E15" s="28" t="s">
        <v>36</v>
      </c>
      <c r="F15" s="29">
        <v>0.04</v>
      </c>
      <c r="G15" s="30">
        <v>1</v>
      </c>
      <c r="H15" s="31">
        <f>F15 * G15 * 13047.290225</f>
        <v>521.89160900000002</v>
      </c>
      <c r="I15" s="31">
        <f>F15 * G15 * 11889.934531</f>
        <v>475.59738124000006</v>
      </c>
      <c r="J15" s="31">
        <f t="shared" si="0"/>
        <v>0</v>
      </c>
      <c r="K15" s="31">
        <f>F15 * G15 * 12421.020294</f>
        <v>496.84081176000001</v>
      </c>
      <c r="L15" s="31">
        <f>F15 * G15 * 3922.61573</f>
        <v>156.90462920000002</v>
      </c>
      <c r="M15" s="31">
        <f>F15 * G15 * 2609.458045</f>
        <v>104.37832179999999</v>
      </c>
      <c r="N15" s="32">
        <f t="shared" si="1"/>
        <v>1755.6127530000001</v>
      </c>
      <c r="O15" s="92">
        <f t="shared" si="2"/>
        <v>2149.9497115150957</v>
      </c>
      <c r="P15" s="33">
        <f t="shared" si="3"/>
        <v>3.3797863791660311E-2</v>
      </c>
    </row>
    <row r="16" spans="2:17" x14ac:dyDescent="0.25">
      <c r="B16" s="26">
        <v>6</v>
      </c>
      <c r="C16" s="27" t="s">
        <v>37</v>
      </c>
      <c r="D16" s="28" t="s">
        <v>38</v>
      </c>
      <c r="E16" s="28" t="s">
        <v>39</v>
      </c>
      <c r="F16" s="29">
        <v>7</v>
      </c>
      <c r="G16" s="30">
        <v>1</v>
      </c>
      <c r="H16" s="31">
        <f>F16 * G16 * 89.07382</f>
        <v>623.51674000000003</v>
      </c>
      <c r="I16" s="31">
        <f>F16 * G16 * 107.100656</f>
        <v>749.70459200000005</v>
      </c>
      <c r="J16" s="31">
        <f t="shared" si="0"/>
        <v>0</v>
      </c>
      <c r="K16" s="31">
        <f>F16 * G16 * 84.798277</f>
        <v>593.58793900000001</v>
      </c>
      <c r="L16" s="31">
        <f>F16 * G16 * 29.502139</f>
        <v>206.514973</v>
      </c>
      <c r="M16" s="31">
        <f>F16 * G16 * 17.814764</f>
        <v>124.70334800000001</v>
      </c>
      <c r="N16" s="32">
        <f t="shared" si="1"/>
        <v>2298.0275919999999</v>
      </c>
      <c r="O16" s="92">
        <f t="shared" si="2"/>
        <v>2814.1990595770808</v>
      </c>
      <c r="P16" s="33">
        <f t="shared" si="3"/>
        <v>4.4240065704223737E-2</v>
      </c>
    </row>
    <row r="17" spans="2:16" s="22" customFormat="1" ht="13.9" customHeight="1" x14ac:dyDescent="0.2">
      <c r="B17" s="23"/>
      <c r="C17" s="24" t="s">
        <v>40</v>
      </c>
      <c r="D17" s="100" t="s">
        <v>41</v>
      </c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</row>
    <row r="18" spans="2:16" s="34" customFormat="1" ht="14.25" x14ac:dyDescent="0.2">
      <c r="B18" s="35"/>
      <c r="C18" s="36" t="s">
        <v>42</v>
      </c>
      <c r="D18" s="96" t="s">
        <v>43</v>
      </c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</row>
    <row r="19" spans="2:16" s="34" customFormat="1" ht="14.25" x14ac:dyDescent="0.2">
      <c r="B19" s="35"/>
      <c r="C19" s="36" t="s">
        <v>44</v>
      </c>
      <c r="D19" s="104" t="s">
        <v>45</v>
      </c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2:16" ht="30" x14ac:dyDescent="0.25">
      <c r="B20" s="26">
        <v>7</v>
      </c>
      <c r="C20" s="27" t="s">
        <v>46</v>
      </c>
      <c r="D20" s="28" t="s">
        <v>47</v>
      </c>
      <c r="E20" s="28" t="s">
        <v>48</v>
      </c>
      <c r="F20" s="29">
        <v>0.01</v>
      </c>
      <c r="G20" s="30">
        <v>1</v>
      </c>
      <c r="H20" s="31">
        <f>F20 * G20 * 3082.78725</f>
        <v>30.827872499999998</v>
      </c>
      <c r="I20" s="31">
        <f>F20 * G20 * 4283.798967</f>
        <v>42.837989669999999</v>
      </c>
      <c r="J20" s="31">
        <f>F20 * G20 * 1011.318</f>
        <v>10.11318</v>
      </c>
      <c r="K20" s="31">
        <f>F20 * G20 * 2934.813463</f>
        <v>29.348134630000001</v>
      </c>
      <c r="L20" s="31">
        <f>F20 * G20 * 1187.835356</f>
        <v>11.878353560000001</v>
      </c>
      <c r="M20" s="31">
        <f>F20 * G20 * 616.55745</f>
        <v>6.1655745</v>
      </c>
      <c r="N20" s="32">
        <f>SUM(H20:M20)</f>
        <v>131.17110485999999</v>
      </c>
      <c r="O20" s="92">
        <f>N20*1.07*1.09*1.05</f>
        <v>160.6341025781289</v>
      </c>
      <c r="P20" s="33">
        <f>IF($P$9&gt;0,O20/$P$9/12,0)</f>
        <v>2.5252169807289332E-3</v>
      </c>
    </row>
    <row r="21" spans="2:16" s="34" customFormat="1" ht="14.25" x14ac:dyDescent="0.2">
      <c r="B21" s="35"/>
      <c r="C21" s="36" t="s">
        <v>49</v>
      </c>
      <c r="D21" s="101" t="s">
        <v>50</v>
      </c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</row>
    <row r="22" spans="2:16" ht="45" x14ac:dyDescent="0.25">
      <c r="B22" s="26">
        <v>8</v>
      </c>
      <c r="C22" s="27" t="s">
        <v>51</v>
      </c>
      <c r="D22" s="28" t="s">
        <v>52</v>
      </c>
      <c r="E22" s="28" t="s">
        <v>53</v>
      </c>
      <c r="F22" s="29">
        <v>0.01</v>
      </c>
      <c r="G22" s="30">
        <v>1</v>
      </c>
      <c r="H22" s="31">
        <f>F22 * G22 * 43159.0215</f>
        <v>431.59021500000006</v>
      </c>
      <c r="I22" s="31">
        <f>F22 * G22 * 71998.996937</f>
        <v>719.98996937000004</v>
      </c>
      <c r="J22" s="31">
        <f>F22 * G22 * 14158.452</f>
        <v>141.58452</v>
      </c>
      <c r="K22" s="31">
        <f>F22 * G22 * 41087.388468</f>
        <v>410.87388468</v>
      </c>
      <c r="L22" s="31">
        <f>F22 * G22 * 17892.405186</f>
        <v>178.92405185999999</v>
      </c>
      <c r="M22" s="31">
        <f>F22 * G22 * 8631.8043</f>
        <v>86.318043000000003</v>
      </c>
      <c r="N22" s="32">
        <f>SUM(H22:M22)</f>
        <v>1969.2806839099999</v>
      </c>
      <c r="O22" s="92">
        <f t="shared" ref="O22:O23" si="4">N22*1.07*1.09*1.05</f>
        <v>2411.6106647264451</v>
      </c>
      <c r="P22" s="33">
        <f t="shared" ref="P22:P23" si="5">IF($P$9&gt;0,O22/$P$9/12,0)</f>
        <v>3.7911253611369634E-2</v>
      </c>
    </row>
    <row r="23" spans="2:16" ht="45" x14ac:dyDescent="0.25">
      <c r="B23" s="26">
        <v>9</v>
      </c>
      <c r="C23" s="27" t="s">
        <v>54</v>
      </c>
      <c r="D23" s="28" t="s">
        <v>55</v>
      </c>
      <c r="E23" s="28" t="s">
        <v>53</v>
      </c>
      <c r="F23" s="29">
        <v>0.01</v>
      </c>
      <c r="G23" s="30">
        <v>1</v>
      </c>
      <c r="H23" s="31">
        <f>F23 * G23 * 63916.45565</f>
        <v>639.1645565</v>
      </c>
      <c r="I23" s="31">
        <f>F23 * G23 * 140913.712084</f>
        <v>1409.1371208400001</v>
      </c>
      <c r="J23" s="31">
        <f>F23 * G23 * 20967.9932</f>
        <v>209.67993200000001</v>
      </c>
      <c r="K23" s="31">
        <f>F23 * G23 * 60848.465779</f>
        <v>608.48465779000003</v>
      </c>
      <c r="L23" s="31">
        <f>F23 * G23 * 30097.895805</f>
        <v>300.97895805000002</v>
      </c>
      <c r="M23" s="31">
        <f>F23 * G23 * 12783.29113</f>
        <v>127.83291129999999</v>
      </c>
      <c r="N23" s="32">
        <f>SUM(H23:M23)</f>
        <v>3295.2781364800003</v>
      </c>
      <c r="O23" s="92">
        <f t="shared" si="4"/>
        <v>4035.4470351054565</v>
      </c>
      <c r="P23" s="33">
        <f t="shared" si="5"/>
        <v>6.3438455560357418E-2</v>
      </c>
    </row>
    <row r="24" spans="2:16" s="34" customFormat="1" ht="14.25" x14ac:dyDescent="0.2">
      <c r="B24" s="35"/>
      <c r="C24" s="36" t="s">
        <v>56</v>
      </c>
      <c r="D24" s="101" t="s">
        <v>57</v>
      </c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</row>
    <row r="25" spans="2:16" ht="30" x14ac:dyDescent="0.25">
      <c r="B25" s="26">
        <v>10</v>
      </c>
      <c r="C25" s="27" t="s">
        <v>58</v>
      </c>
      <c r="D25" s="28" t="s">
        <v>59</v>
      </c>
      <c r="E25" s="28" t="s">
        <v>60</v>
      </c>
      <c r="F25" s="29">
        <v>0.01</v>
      </c>
      <c r="G25" s="30">
        <v>1</v>
      </c>
      <c r="H25" s="31">
        <f>F25 * G25 * 26317.265</f>
        <v>263.17264999999998</v>
      </c>
      <c r="I25" s="31">
        <f>F25 * G25 * 57908.09052</f>
        <v>579.08090519999996</v>
      </c>
      <c r="J25" s="31">
        <f>F25 * G25 * 8764.756</f>
        <v>87.647559999999999</v>
      </c>
      <c r="K25" s="31">
        <f>F25 * G25 * 25054.03628</f>
        <v>250.5403628</v>
      </c>
      <c r="L25" s="31">
        <f>F25 * G25 * 12394.635519</f>
        <v>123.94635518999999</v>
      </c>
      <c r="M25" s="31">
        <f>F25 * G25 * 5263.453</f>
        <v>52.634530000000005</v>
      </c>
      <c r="N25" s="32">
        <f>SUM(H25:M25)</f>
        <v>1357.0223631900001</v>
      </c>
      <c r="O25" s="92">
        <f>N25*1.07*1.09*1.05</f>
        <v>1661.8299412979222</v>
      </c>
      <c r="P25" s="33">
        <f>IF($P$9&gt;0,O25/$P$9/12,0)</f>
        <v>2.6124472446989913E-2</v>
      </c>
    </row>
    <row r="26" spans="2:16" s="34" customFormat="1" ht="14.25" x14ac:dyDescent="0.2">
      <c r="B26" s="35"/>
      <c r="C26" s="36" t="s">
        <v>61</v>
      </c>
      <c r="D26" s="101" t="s">
        <v>62</v>
      </c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</row>
    <row r="27" spans="2:16" ht="45" x14ac:dyDescent="0.25">
      <c r="B27" s="26">
        <v>11</v>
      </c>
      <c r="C27" s="27" t="s">
        <v>63</v>
      </c>
      <c r="D27" s="28" t="s">
        <v>64</v>
      </c>
      <c r="E27" s="28" t="s">
        <v>65</v>
      </c>
      <c r="F27" s="29">
        <v>0.01</v>
      </c>
      <c r="G27" s="30">
        <v>1</v>
      </c>
      <c r="H27" s="31">
        <f>F27 * G27 * 72342.7408</f>
        <v>723.42740800000001</v>
      </c>
      <c r="I27" s="31">
        <f>F27 * G27 * 72274.38017</f>
        <v>722.74380170000006</v>
      </c>
      <c r="J27" s="31">
        <f>F27 * G27 * 23732.2624</f>
        <v>237.32262399999999</v>
      </c>
      <c r="K27" s="31">
        <f>F27 * G27 * 68870.289242</f>
        <v>688.70289242000001</v>
      </c>
      <c r="L27" s="31">
        <f>F27 * G27 * 24908.065624</f>
        <v>249.08065624</v>
      </c>
      <c r="M27" s="31">
        <f>F27 * G27 * 14468.54816</f>
        <v>144.6854816</v>
      </c>
      <c r="N27" s="32">
        <f>SUM(H27:M27)</f>
        <v>2765.9628639599996</v>
      </c>
      <c r="O27" s="92">
        <f t="shared" ref="O27:O28" si="6">N27*1.07*1.09*1.05</f>
        <v>3387.2396126483754</v>
      </c>
      <c r="P27" s="33">
        <f t="shared" ref="P27:P28" si="7">IF($P$9&gt;0,O27/$P$9/12,0)</f>
        <v>5.3248437600584404E-2</v>
      </c>
    </row>
    <row r="28" spans="2:16" ht="45" x14ac:dyDescent="0.25">
      <c r="B28" s="26">
        <v>12</v>
      </c>
      <c r="C28" s="27" t="s">
        <v>66</v>
      </c>
      <c r="D28" s="28" t="s">
        <v>67</v>
      </c>
      <c r="E28" s="28" t="s">
        <v>65</v>
      </c>
      <c r="F28" s="29">
        <v>0.01</v>
      </c>
      <c r="G28" s="30">
        <v>1</v>
      </c>
      <c r="H28" s="31">
        <f>F28 * G28 * 108103.0729</f>
        <v>1081.0307290000001</v>
      </c>
      <c r="I28" s="31">
        <f>F28 * G28 * 130083.029176</f>
        <v>1300.8302917599999</v>
      </c>
      <c r="J28" s="31">
        <f>F28 * G28 * 35463.5512</f>
        <v>354.63551200000001</v>
      </c>
      <c r="K28" s="31">
        <f>F28 * G28 * 102914.125401</f>
        <v>1029.14125401</v>
      </c>
      <c r="L28" s="31">
        <f>F28 * G28 * 39539.196761</f>
        <v>395.39196760999999</v>
      </c>
      <c r="M28" s="31">
        <f>F28 * G28 * 21620.61458</f>
        <v>216.20614580000003</v>
      </c>
      <c r="N28" s="32">
        <f>SUM(H28:M28)</f>
        <v>4377.2359001799996</v>
      </c>
      <c r="O28" s="92">
        <f t="shared" si="6"/>
        <v>5360.4287418989306</v>
      </c>
      <c r="P28" s="33">
        <f t="shared" si="7"/>
        <v>8.426757124283045E-2</v>
      </c>
    </row>
    <row r="29" spans="2:16" s="34" customFormat="1" ht="14.25" x14ac:dyDescent="0.2">
      <c r="B29" s="35"/>
      <c r="C29" s="36" t="s">
        <v>68</v>
      </c>
      <c r="D29" s="96" t="s">
        <v>69</v>
      </c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</row>
    <row r="30" spans="2:16" ht="45" x14ac:dyDescent="0.25">
      <c r="B30" s="26">
        <v>13</v>
      </c>
      <c r="C30" s="27" t="s">
        <v>70</v>
      </c>
      <c r="D30" s="28" t="s">
        <v>71</v>
      </c>
      <c r="E30" s="28" t="s">
        <v>72</v>
      </c>
      <c r="F30" s="29"/>
      <c r="G30" s="30">
        <v>1</v>
      </c>
      <c r="H30" s="31">
        <f>F30 * G30 * 114107.0568</f>
        <v>0</v>
      </c>
      <c r="I30" s="31">
        <f>F30 * G30 * 85210.953717</f>
        <v>0</v>
      </c>
      <c r="J30" s="31">
        <f>F30 * G30 * 0</f>
        <v>0</v>
      </c>
      <c r="K30" s="31">
        <f>F30 * G30 * 108629.918074</f>
        <v>0</v>
      </c>
      <c r="L30" s="31">
        <f>F30 * G30 * 32334.532502</f>
        <v>0</v>
      </c>
      <c r="M30" s="31">
        <f>F30 * G30 * 22821.41136</f>
        <v>0</v>
      </c>
      <c r="N30" s="32">
        <f>SUM(H30:M30)</f>
        <v>0</v>
      </c>
      <c r="O30" s="92">
        <f>N30*1.07*1.09*1.05</f>
        <v>0</v>
      </c>
      <c r="P30" s="33">
        <f>IF($P$9&gt;0,O30/$P$9/12,0)</f>
        <v>0</v>
      </c>
    </row>
    <row r="31" spans="2:16" s="34" customFormat="1" ht="14.25" x14ac:dyDescent="0.2">
      <c r="B31" s="35"/>
      <c r="C31" s="36" t="s">
        <v>73</v>
      </c>
      <c r="D31" s="96" t="s">
        <v>74</v>
      </c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</row>
    <row r="32" spans="2:16" s="34" customFormat="1" ht="14.25" x14ac:dyDescent="0.2">
      <c r="B32" s="35"/>
      <c r="C32" s="36" t="s">
        <v>75</v>
      </c>
      <c r="D32" s="104" t="s">
        <v>76</v>
      </c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</row>
    <row r="33" spans="2:16" ht="45" x14ac:dyDescent="0.25">
      <c r="B33" s="26">
        <v>14</v>
      </c>
      <c r="C33" s="27" t="s">
        <v>77</v>
      </c>
      <c r="D33" s="28" t="s">
        <v>78</v>
      </c>
      <c r="E33" s="28" t="s">
        <v>53</v>
      </c>
      <c r="F33" s="29"/>
      <c r="G33" s="30">
        <v>1</v>
      </c>
      <c r="H33" s="31">
        <f>F33 * G33 * 30827.8725</f>
        <v>0</v>
      </c>
      <c r="I33" s="31">
        <f>F33 * G33 * 10627.539883</f>
        <v>0</v>
      </c>
      <c r="J33" s="31">
        <f>F33 * G33 * 10113.18</f>
        <v>0</v>
      </c>
      <c r="K33" s="31">
        <f>F33 * G33 * 29348.13462</f>
        <v>0</v>
      </c>
      <c r="L33" s="31">
        <f>F33 * G33 * 8496.256335</f>
        <v>0</v>
      </c>
      <c r="M33" s="31">
        <f>F33 * G33 * 6165.5745</f>
        <v>0</v>
      </c>
      <c r="N33" s="32">
        <f>SUM(H33:M33)</f>
        <v>0</v>
      </c>
      <c r="O33" s="92">
        <f t="shared" ref="O33:O34" si="8">N33*1.07*1.09*1.05</f>
        <v>0</v>
      </c>
      <c r="P33" s="33">
        <f t="shared" ref="P33:P34" si="9">IF($P$9&gt;0,O33/$P$9/12,0)</f>
        <v>0</v>
      </c>
    </row>
    <row r="34" spans="2:16" ht="45" x14ac:dyDescent="0.25">
      <c r="B34" s="26">
        <v>15</v>
      </c>
      <c r="C34" s="27" t="s">
        <v>79</v>
      </c>
      <c r="D34" s="28" t="s">
        <v>80</v>
      </c>
      <c r="E34" s="28" t="s">
        <v>53</v>
      </c>
      <c r="F34" s="29">
        <v>0.01</v>
      </c>
      <c r="G34" s="30">
        <v>1</v>
      </c>
      <c r="H34" s="31">
        <f>F34 * G34 * 30827.8725</f>
        <v>308.27872500000001</v>
      </c>
      <c r="I34" s="31">
        <f>F34 * G34 * 8101.812701</f>
        <v>81.018127010000001</v>
      </c>
      <c r="J34" s="31">
        <f>F34 * G34 * 10113.18</f>
        <v>101.1318</v>
      </c>
      <c r="K34" s="31">
        <f>F34 * G34 * 29348.13462</f>
        <v>293.48134620000002</v>
      </c>
      <c r="L34" s="31">
        <f>F34 * G34 * 8231.054981</f>
        <v>82.310549809999998</v>
      </c>
      <c r="M34" s="31">
        <f>F34 * G34 * 6165.5745</f>
        <v>61.655744999999996</v>
      </c>
      <c r="N34" s="32">
        <f>SUM(H34:M34)</f>
        <v>927.87629302000005</v>
      </c>
      <c r="O34" s="92">
        <f t="shared" si="8"/>
        <v>1136.2912265766877</v>
      </c>
      <c r="P34" s="33">
        <f t="shared" si="9"/>
        <v>1.7862843906443559E-2</v>
      </c>
    </row>
    <row r="35" spans="2:16" s="34" customFormat="1" ht="14.25" x14ac:dyDescent="0.2">
      <c r="B35" s="35"/>
      <c r="C35" s="36" t="s">
        <v>81</v>
      </c>
      <c r="D35" s="96" t="s">
        <v>82</v>
      </c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</row>
    <row r="36" spans="2:16" s="34" customFormat="1" ht="14.25" x14ac:dyDescent="0.2">
      <c r="B36" s="35"/>
      <c r="C36" s="36" t="s">
        <v>83</v>
      </c>
      <c r="D36" s="104" t="s">
        <v>84</v>
      </c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2:16" ht="45" x14ac:dyDescent="0.25">
      <c r="B37" s="26">
        <v>16</v>
      </c>
      <c r="C37" s="27" t="s">
        <v>85</v>
      </c>
      <c r="D37" s="28" t="s">
        <v>86</v>
      </c>
      <c r="E37" s="28" t="s">
        <v>87</v>
      </c>
      <c r="F37" s="29">
        <v>0.14000000000000001</v>
      </c>
      <c r="G37" s="30">
        <v>1</v>
      </c>
      <c r="H37" s="31">
        <f>F37 * G37 * 4662.43888</f>
        <v>652.74144320000005</v>
      </c>
      <c r="I37" s="31">
        <f>F37 * G37 * 2957.723572</f>
        <v>414.08130008000001</v>
      </c>
      <c r="J37" s="31">
        <f>F37 * G37 * 1024.80224</f>
        <v>143.47231360000001</v>
      </c>
      <c r="K37" s="31">
        <f>F37 * G37 * 4438.641814</f>
        <v>621.40985395999996</v>
      </c>
      <c r="L37" s="31">
        <f>F37 * G37 * 1373.77868399999</f>
        <v>192.32901575999864</v>
      </c>
      <c r="M37" s="31">
        <f>F37 * G37 * 932.487776</f>
        <v>130.54828864000001</v>
      </c>
      <c r="N37" s="32">
        <f>SUM(H37:M37)</f>
        <v>2154.5822152399987</v>
      </c>
      <c r="O37" s="92">
        <f>N37*1.07*1.09*1.05</f>
        <v>2638.533699516131</v>
      </c>
      <c r="P37" s="33">
        <f>IF($P$9&gt;0,O37/$P$9/12,0)</f>
        <v>4.1478552781175425E-2</v>
      </c>
    </row>
    <row r="38" spans="2:16" s="34" customFormat="1" ht="14.25" x14ac:dyDescent="0.2">
      <c r="B38" s="35"/>
      <c r="C38" s="36" t="s">
        <v>88</v>
      </c>
      <c r="D38" s="96" t="s">
        <v>89</v>
      </c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</row>
    <row r="39" spans="2:16" s="34" customFormat="1" ht="14.25" x14ac:dyDescent="0.2">
      <c r="B39" s="35"/>
      <c r="C39" s="36" t="s">
        <v>90</v>
      </c>
      <c r="D39" s="104" t="s">
        <v>91</v>
      </c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</row>
    <row r="40" spans="2:16" ht="60" x14ac:dyDescent="0.25">
      <c r="B40" s="26">
        <v>17</v>
      </c>
      <c r="C40" s="27" t="s">
        <v>92</v>
      </c>
      <c r="D40" s="28" t="s">
        <v>93</v>
      </c>
      <c r="E40" s="28" t="s">
        <v>94</v>
      </c>
      <c r="F40" s="29">
        <v>7.0000000000000007E-2</v>
      </c>
      <c r="G40" s="30">
        <v>1</v>
      </c>
      <c r="H40" s="31">
        <f>F40 * G40 * 6055.30456</f>
        <v>423.87131920000002</v>
      </c>
      <c r="I40" s="31">
        <f>F40 * G40 * 8453.178247</f>
        <v>591.72247729000003</v>
      </c>
      <c r="J40" s="31">
        <f>F40 * G40 * 0</f>
        <v>0</v>
      </c>
      <c r="K40" s="31">
        <f>F40 * G40 * 5764.649941</f>
        <v>403.52549587000004</v>
      </c>
      <c r="L40" s="31">
        <f>F40 * G40 * 2128.678939</f>
        <v>149.00752573</v>
      </c>
      <c r="M40" s="31">
        <f>F40 * G40 * 1211.060912</f>
        <v>84.774263840000003</v>
      </c>
      <c r="N40" s="32">
        <f>SUM(H40:M40)</f>
        <v>1652.9010819300001</v>
      </c>
      <c r="O40" s="92">
        <f>N40*1.07*1.09*1.05</f>
        <v>2024.1674584477075</v>
      </c>
      <c r="P40" s="33">
        <f>IF($P$9&gt;0,O40/$P$9/12,0)</f>
        <v>3.182052849222957E-2</v>
      </c>
    </row>
    <row r="41" spans="2:16" s="34" customFormat="1" ht="14.25" x14ac:dyDescent="0.2">
      <c r="B41" s="35"/>
      <c r="C41" s="36" t="s">
        <v>95</v>
      </c>
      <c r="D41" s="96" t="s">
        <v>96</v>
      </c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</row>
    <row r="42" spans="2:16" ht="30" x14ac:dyDescent="0.25">
      <c r="B42" s="26">
        <v>18</v>
      </c>
      <c r="C42" s="27" t="s">
        <v>97</v>
      </c>
      <c r="D42" s="28" t="s">
        <v>98</v>
      </c>
      <c r="E42" s="28" t="s">
        <v>99</v>
      </c>
      <c r="F42" s="29">
        <v>0.04</v>
      </c>
      <c r="G42" s="30">
        <v>1</v>
      </c>
      <c r="H42" s="31">
        <f>F42 * G42 * 41103.83</f>
        <v>1644.1532000000002</v>
      </c>
      <c r="I42" s="31">
        <f>F42 * G42 * 20433.603425</f>
        <v>817.34413700000005</v>
      </c>
      <c r="J42" s="31">
        <f>F42 * G42 * 0</f>
        <v>0</v>
      </c>
      <c r="K42" s="31">
        <f>F42 * G42 * 39130.84616</f>
        <v>1565.2338464000002</v>
      </c>
      <c r="L42" s="31">
        <f>F42 * G42 * 10570.169357</f>
        <v>422.80677428000001</v>
      </c>
      <c r="M42" s="31">
        <f>F42 * G42 * 8220.766</f>
        <v>328.83064000000002</v>
      </c>
      <c r="N42" s="32">
        <f>SUM(H42:M42)</f>
        <v>4778.3685976800007</v>
      </c>
      <c r="O42" s="92">
        <f t="shared" ref="O42:O46" si="10">N42*1.07*1.09*1.05</f>
        <v>5851.6618602478957</v>
      </c>
      <c r="P42" s="33">
        <f t="shared" ref="P42:P46" si="11">IF($P$9&gt;0,O42/$P$9/12,0)</f>
        <v>9.198990536766484E-2</v>
      </c>
    </row>
    <row r="43" spans="2:16" x14ac:dyDescent="0.25">
      <c r="B43" s="26">
        <v>19</v>
      </c>
      <c r="C43" s="27" t="s">
        <v>100</v>
      </c>
      <c r="D43" s="28" t="s">
        <v>101</v>
      </c>
      <c r="E43" s="28" t="s">
        <v>102</v>
      </c>
      <c r="F43" s="29">
        <v>0.14000000000000001</v>
      </c>
      <c r="G43" s="30">
        <v>1</v>
      </c>
      <c r="H43" s="31">
        <f>F43 * G43 * 6167.0016</f>
        <v>863.380224</v>
      </c>
      <c r="I43" s="31">
        <f>F43 * G43 * 120.736201</f>
        <v>16.903068140000002</v>
      </c>
      <c r="J43" s="31">
        <f>F43 * G43 * 0</f>
        <v>0</v>
      </c>
      <c r="K43" s="31">
        <f>F43 * G43 * 5870.98552299999</f>
        <v>821.93797321999875</v>
      </c>
      <c r="L43" s="31">
        <f>F43 * G43 * 1276.665949</f>
        <v>178.73323286000002</v>
      </c>
      <c r="M43" s="31">
        <f>F43 * G43 * 1233.40032</f>
        <v>172.6760448</v>
      </c>
      <c r="N43" s="32">
        <f>SUM(H43:M43)</f>
        <v>2053.6305430199986</v>
      </c>
      <c r="O43" s="92">
        <f t="shared" si="10"/>
        <v>2514.9067674404359</v>
      </c>
      <c r="P43" s="33">
        <f t="shared" si="11"/>
        <v>3.9535099783695467E-2</v>
      </c>
    </row>
    <row r="44" spans="2:16" ht="60" x14ac:dyDescent="0.25">
      <c r="B44" s="26">
        <v>20</v>
      </c>
      <c r="C44" s="27" t="s">
        <v>103</v>
      </c>
      <c r="D44" s="28" t="s">
        <v>104</v>
      </c>
      <c r="E44" s="28" t="s">
        <v>94</v>
      </c>
      <c r="F44" s="29">
        <v>0.04</v>
      </c>
      <c r="G44" s="30">
        <v>1</v>
      </c>
      <c r="H44" s="31">
        <f>F44 * G44 * 6910.411758</f>
        <v>276.41647032000003</v>
      </c>
      <c r="I44" s="31">
        <f>F44 * G44 * 8539.427905</f>
        <v>341.57711620000003</v>
      </c>
      <c r="J44" s="31">
        <f>F44 * G44 * 0</f>
        <v>0</v>
      </c>
      <c r="K44" s="31">
        <f>F44 * G44 * 6578.711994</f>
        <v>263.14847975999999</v>
      </c>
      <c r="L44" s="31">
        <f>F44 * G44 * 2312.997924</f>
        <v>92.519916959999989</v>
      </c>
      <c r="M44" s="31">
        <f>F44 * G44 * 1382.082352</f>
        <v>55.283294079999997</v>
      </c>
      <c r="N44" s="32">
        <f>SUM(H44:M44)</f>
        <v>1028.9452773199998</v>
      </c>
      <c r="O44" s="92">
        <f t="shared" si="10"/>
        <v>1260.0618207852317</v>
      </c>
      <c r="P44" s="33">
        <f t="shared" si="11"/>
        <v>1.9808555316374769E-2</v>
      </c>
    </row>
    <row r="45" spans="2:16" ht="30" x14ac:dyDescent="0.25">
      <c r="B45" s="26">
        <v>21</v>
      </c>
      <c r="C45" s="27" t="s">
        <v>105</v>
      </c>
      <c r="D45" s="28" t="s">
        <v>106</v>
      </c>
      <c r="E45" s="28" t="s">
        <v>107</v>
      </c>
      <c r="F45" s="29">
        <v>0.2</v>
      </c>
      <c r="G45" s="30">
        <v>1</v>
      </c>
      <c r="H45" s="31">
        <f>F45 * G45 * 4047.0948</f>
        <v>809.41895999999997</v>
      </c>
      <c r="I45" s="31">
        <f>F45 * G45 * 120.736201</f>
        <v>24.147240199999999</v>
      </c>
      <c r="J45" s="31">
        <f>F45 * G45 * 0</f>
        <v>0</v>
      </c>
      <c r="K45" s="31">
        <f>F45 * G45 * 3852.83425</f>
        <v>770.56685000000004</v>
      </c>
      <c r="L45" s="31">
        <f>F45 * G45 * 842.169851</f>
        <v>168.4339702</v>
      </c>
      <c r="M45" s="31">
        <f>F45 * G45 * 809.41896</f>
        <v>161.883792</v>
      </c>
      <c r="N45" s="32">
        <f>SUM(H45:M45)</f>
        <v>1934.4508124000001</v>
      </c>
      <c r="O45" s="92">
        <f t="shared" si="10"/>
        <v>2368.9574816272266</v>
      </c>
      <c r="P45" s="33">
        <f t="shared" si="11"/>
        <v>3.7240732591762978E-2</v>
      </c>
    </row>
    <row r="46" spans="2:16" ht="30" x14ac:dyDescent="0.25">
      <c r="B46" s="26">
        <v>22</v>
      </c>
      <c r="C46" s="27" t="s">
        <v>108</v>
      </c>
      <c r="D46" s="28" t="s">
        <v>109</v>
      </c>
      <c r="E46" s="28" t="s">
        <v>110</v>
      </c>
      <c r="F46" s="29">
        <v>1</v>
      </c>
      <c r="G46" s="30">
        <v>1</v>
      </c>
      <c r="H46" s="31">
        <f>F46 * G46 * 144.68181</f>
        <v>144.68181000000001</v>
      </c>
      <c r="I46" s="31">
        <f>F46 * G46 * 3091.886492</f>
        <v>3091.8864920000001</v>
      </c>
      <c r="J46" s="31">
        <f>F46 * G46 * 0.02856</f>
        <v>2.8559999999999999E-2</v>
      </c>
      <c r="K46" s="31">
        <f>F46 * G46 * 137.737084</f>
        <v>137.73708400000001</v>
      </c>
      <c r="L46" s="31">
        <f>F46 * G46 * 354.305065</f>
        <v>354.30506500000001</v>
      </c>
      <c r="M46" s="31">
        <f>F46 * G46 * 28.936362</f>
        <v>28.936361999999999</v>
      </c>
      <c r="N46" s="32">
        <f>SUM(H46:M46)</f>
        <v>3757.5753730000001</v>
      </c>
      <c r="O46" s="92">
        <f t="shared" si="10"/>
        <v>4601.5831654063959</v>
      </c>
      <c r="P46" s="33">
        <f t="shared" si="11"/>
        <v>7.233828782944092E-2</v>
      </c>
    </row>
    <row r="47" spans="2:16" s="22" customFormat="1" ht="13.9" customHeight="1" x14ac:dyDescent="0.2">
      <c r="B47" s="23"/>
      <c r="C47" s="24" t="s">
        <v>111</v>
      </c>
      <c r="D47" s="100" t="s">
        <v>112</v>
      </c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2:16" s="34" customFormat="1" ht="14.25" x14ac:dyDescent="0.2">
      <c r="B48" s="35"/>
      <c r="C48" s="36" t="s">
        <v>113</v>
      </c>
      <c r="D48" s="96" t="s">
        <v>114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</row>
    <row r="49" spans="2:16" s="34" customFormat="1" ht="14.25" x14ac:dyDescent="0.2">
      <c r="B49" s="35"/>
      <c r="C49" s="36" t="s">
        <v>115</v>
      </c>
      <c r="D49" s="104" t="s">
        <v>116</v>
      </c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</row>
    <row r="50" spans="2:16" ht="30" x14ac:dyDescent="0.25">
      <c r="B50" s="26">
        <v>23</v>
      </c>
      <c r="C50" s="27" t="s">
        <v>117</v>
      </c>
      <c r="D50" s="28" t="s">
        <v>118</v>
      </c>
      <c r="E50" s="28" t="s">
        <v>119</v>
      </c>
      <c r="F50" s="29">
        <v>0.01</v>
      </c>
      <c r="G50" s="30">
        <v>1</v>
      </c>
      <c r="H50" s="31">
        <f>F50 * G50 * 5319.03888</f>
        <v>53.190388800000001</v>
      </c>
      <c r="I50" s="31">
        <f>F50 * G50 * 6136.972387</f>
        <v>61.369723870000001</v>
      </c>
      <c r="J50" s="31">
        <f>F50 * G50 * 0</f>
        <v>0</v>
      </c>
      <c r="K50" s="31">
        <f>F50 * G50 * 5063.725014</f>
        <v>50.637250139999999</v>
      </c>
      <c r="L50" s="31">
        <f>F50 * G50 * 1734.572309</f>
        <v>17.34572309</v>
      </c>
      <c r="M50" s="31">
        <f>F50 * G50 * 1063.807776</f>
        <v>10.638077760000002</v>
      </c>
      <c r="N50" s="32">
        <f>SUM(H50:M50)</f>
        <v>193.18116365999998</v>
      </c>
      <c r="O50" s="92">
        <f>N50*1.07*1.09*1.05</f>
        <v>236.57255073549092</v>
      </c>
      <c r="P50" s="33">
        <f>IF($P$9&gt;0,O50/$P$9/12,0)</f>
        <v>3.7189924972566642E-3</v>
      </c>
    </row>
    <row r="51" spans="2:16" s="34" customFormat="1" ht="14.25" x14ac:dyDescent="0.2">
      <c r="B51" s="35"/>
      <c r="C51" s="36" t="s">
        <v>120</v>
      </c>
      <c r="D51" s="96" t="s">
        <v>121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</row>
    <row r="52" spans="2:16" s="34" customFormat="1" ht="14.25" x14ac:dyDescent="0.2">
      <c r="B52" s="35"/>
      <c r="C52" s="36" t="s">
        <v>122</v>
      </c>
      <c r="D52" s="104" t="s">
        <v>123</v>
      </c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</row>
    <row r="53" spans="2:16" ht="45" x14ac:dyDescent="0.25">
      <c r="B53" s="26">
        <v>24</v>
      </c>
      <c r="C53" s="27" t="s">
        <v>124</v>
      </c>
      <c r="D53" s="28" t="s">
        <v>125</v>
      </c>
      <c r="E53" s="28" t="s">
        <v>87</v>
      </c>
      <c r="F53" s="29"/>
      <c r="G53" s="30">
        <v>1</v>
      </c>
      <c r="H53" s="31">
        <f>F53 * G53 * 2627.67769</f>
        <v>0</v>
      </c>
      <c r="I53" s="31">
        <f>F53 * G53 * 11160.394618</f>
        <v>0</v>
      </c>
      <c r="J53" s="31">
        <f>F53 * G53 * 0</f>
        <v>0</v>
      </c>
      <c r="K53" s="31">
        <f>F53 * G53 * 2501.549161</f>
        <v>0</v>
      </c>
      <c r="L53" s="31">
        <f>F53 * G53 * 1710.410254</f>
        <v>0</v>
      </c>
      <c r="M53" s="31">
        <f>F53 * G53 * 525.535538</f>
        <v>0</v>
      </c>
      <c r="N53" s="32">
        <f>SUM(H53:M53)</f>
        <v>0</v>
      </c>
      <c r="O53" s="92">
        <f>N53*1.07*1.09*1.05</f>
        <v>0</v>
      </c>
      <c r="P53" s="33">
        <f>IF($P$9&gt;0,O53/$P$9/12,0)</f>
        <v>0</v>
      </c>
    </row>
    <row r="54" spans="2:16" s="22" customFormat="1" ht="13.9" customHeight="1" x14ac:dyDescent="0.2">
      <c r="B54" s="23"/>
      <c r="C54" s="24" t="s">
        <v>126</v>
      </c>
      <c r="D54" s="100" t="s">
        <v>127</v>
      </c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</row>
    <row r="55" spans="2:16" s="34" customFormat="1" ht="14.25" x14ac:dyDescent="0.2">
      <c r="B55" s="35"/>
      <c r="C55" s="36" t="s">
        <v>128</v>
      </c>
      <c r="D55" s="96" t="s">
        <v>129</v>
      </c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</row>
    <row r="56" spans="2:16" x14ac:dyDescent="0.25">
      <c r="B56" s="26">
        <v>25</v>
      </c>
      <c r="C56" s="27" t="s">
        <v>130</v>
      </c>
      <c r="D56" s="28" t="s">
        <v>131</v>
      </c>
      <c r="E56" s="28" t="s">
        <v>132</v>
      </c>
      <c r="F56" s="29">
        <v>1</v>
      </c>
      <c r="G56" s="30">
        <v>1</v>
      </c>
      <c r="H56" s="31">
        <f>F56 * G56 * 192.318475</f>
        <v>192.31847500000001</v>
      </c>
      <c r="I56" s="31">
        <f>F56 * G56 * 96.33312</f>
        <v>96.333119999999994</v>
      </c>
      <c r="J56" s="31">
        <f>F56 * G56 * 0</f>
        <v>0</v>
      </c>
      <c r="K56" s="31">
        <f>F56 * G56 * 183.087188</f>
        <v>183.087188</v>
      </c>
      <c r="L56" s="31">
        <f>F56 * G56 * 49.532572</f>
        <v>49.532572000000002</v>
      </c>
      <c r="M56" s="31">
        <f>F56 * G56 * 38.463695</f>
        <v>38.463695000000001</v>
      </c>
      <c r="N56" s="32">
        <f>SUM(H56:M56)</f>
        <v>559.73505</v>
      </c>
      <c r="O56" s="92">
        <f>N56*1.07*1.09*1.05</f>
        <v>685.45993825575022</v>
      </c>
      <c r="P56" s="33">
        <f>IF($P$9&gt;0,O56/$P$9/12,0)</f>
        <v>1.0775638845748448E-2</v>
      </c>
    </row>
    <row r="57" spans="2:16" s="34" customFormat="1" ht="14.25" x14ac:dyDescent="0.2">
      <c r="B57" s="35"/>
      <c r="C57" s="36" t="s">
        <v>133</v>
      </c>
      <c r="D57" s="96" t="s">
        <v>134</v>
      </c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</row>
    <row r="58" spans="2:16" x14ac:dyDescent="0.25">
      <c r="B58" s="26">
        <v>26</v>
      </c>
      <c r="C58" s="27" t="s">
        <v>135</v>
      </c>
      <c r="D58" s="28" t="s">
        <v>136</v>
      </c>
      <c r="E58" s="28" t="s">
        <v>132</v>
      </c>
      <c r="F58" s="29">
        <v>1</v>
      </c>
      <c r="G58" s="30">
        <v>1</v>
      </c>
      <c r="H58" s="31">
        <f>F58 * G58 * 267.174895</f>
        <v>267.17489499999999</v>
      </c>
      <c r="I58" s="31">
        <f>F58 * G58 * 5.043829</f>
        <v>5.0438289999999997</v>
      </c>
      <c r="J58" s="31">
        <f>F58 * G58 * 0</f>
        <v>0</v>
      </c>
      <c r="K58" s="31">
        <f>F58 * G58 * 254.3505</f>
        <v>254.35050000000001</v>
      </c>
      <c r="L58" s="31">
        <f>F58 * G58 * 55.289768</f>
        <v>55.289768000000002</v>
      </c>
      <c r="M58" s="31">
        <f>F58 * G58 * 53.434979</f>
        <v>53.434978999999998</v>
      </c>
      <c r="N58" s="32">
        <f>SUM(H58:M58)</f>
        <v>635.29397100000006</v>
      </c>
      <c r="O58" s="92">
        <f t="shared" ref="O58:O59" si="12">N58*1.07*1.09*1.05</f>
        <v>777.99052629616517</v>
      </c>
      <c r="P58" s="33">
        <f t="shared" ref="P58:P59" si="13">IF($P$9&gt;0,O58/$P$9/12,0)</f>
        <v>1.223024785097411E-2</v>
      </c>
    </row>
    <row r="59" spans="2:16" x14ac:dyDescent="0.25">
      <c r="B59" s="26">
        <v>27</v>
      </c>
      <c r="C59" s="27" t="s">
        <v>137</v>
      </c>
      <c r="D59" s="28" t="s">
        <v>138</v>
      </c>
      <c r="E59" s="28" t="s">
        <v>132</v>
      </c>
      <c r="F59" s="29">
        <v>1</v>
      </c>
      <c r="G59" s="30">
        <v>1</v>
      </c>
      <c r="H59" s="31">
        <f>F59 * G59 * 143.863405</f>
        <v>143.863405</v>
      </c>
      <c r="I59" s="31">
        <f>F59 * G59 * 86.290013</f>
        <v>86.290013000000002</v>
      </c>
      <c r="J59" s="31">
        <f>F59 * G59 * 0</f>
        <v>0</v>
      </c>
      <c r="K59" s="31">
        <f>F59 * G59 * 136.957961</f>
        <v>136.95796100000001</v>
      </c>
      <c r="L59" s="31">
        <f>F59 * G59 * 38.546695</f>
        <v>38.546695</v>
      </c>
      <c r="M59" s="31">
        <f>F59 * G59 * 28.772681</f>
        <v>28.772680999999999</v>
      </c>
      <c r="N59" s="32">
        <f>SUM(H59:M59)</f>
        <v>434.43075499999998</v>
      </c>
      <c r="O59" s="92">
        <f t="shared" si="12"/>
        <v>532.01041903432508</v>
      </c>
      <c r="P59" s="33">
        <f t="shared" si="13"/>
        <v>8.3633657019795814E-3</v>
      </c>
    </row>
    <row r="60" spans="2:16" s="22" customFormat="1" ht="13.9" customHeight="1" x14ac:dyDescent="0.2">
      <c r="B60" s="23"/>
      <c r="C60" s="24" t="s">
        <v>139</v>
      </c>
      <c r="D60" s="100" t="s">
        <v>140</v>
      </c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</row>
    <row r="61" spans="2:16" s="34" customFormat="1" ht="14.25" x14ac:dyDescent="0.2">
      <c r="B61" s="35"/>
      <c r="C61" s="36" t="s">
        <v>141</v>
      </c>
      <c r="D61" s="96" t="s">
        <v>142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</row>
    <row r="62" spans="2:16" ht="30" x14ac:dyDescent="0.25">
      <c r="B62" s="26">
        <v>28</v>
      </c>
      <c r="C62" s="27" t="s">
        <v>143</v>
      </c>
      <c r="D62" s="28" t="s">
        <v>144</v>
      </c>
      <c r="E62" s="28" t="s">
        <v>145</v>
      </c>
      <c r="F62" s="29">
        <v>0.14000000000000001</v>
      </c>
      <c r="G62" s="30">
        <v>1</v>
      </c>
      <c r="H62" s="31">
        <f>F62 * G62 * 574.941405</f>
        <v>80.491796700000009</v>
      </c>
      <c r="I62" s="31">
        <f>F62 * G62 * 74.282522</f>
        <v>10.39955308</v>
      </c>
      <c r="J62" s="31">
        <f>F62 * G62 * 0</f>
        <v>0</v>
      </c>
      <c r="K62" s="31">
        <f>F62 * G62 * 547.344217</f>
        <v>76.628190380000007</v>
      </c>
      <c r="L62" s="31">
        <f>F62 * G62 * 125.639654999999</f>
        <v>17.589551699999863</v>
      </c>
      <c r="M62" s="31">
        <f>F62 * G62 * 114.988281</f>
        <v>16.098359340000002</v>
      </c>
      <c r="N62" s="32">
        <f>SUM(H62:M62)</f>
        <v>201.20745119999989</v>
      </c>
      <c r="O62" s="92">
        <f t="shared" ref="O62:O63" si="14">N62*1.07*1.09*1.05</f>
        <v>246.40166285128794</v>
      </c>
      <c r="P62" s="33">
        <f t="shared" ref="P62:P63" si="15">IF($P$9&gt;0,O62/$P$9/12,0)</f>
        <v>3.8735091311590257E-3</v>
      </c>
    </row>
    <row r="63" spans="2:16" ht="30" x14ac:dyDescent="0.25">
      <c r="B63" s="26">
        <v>29</v>
      </c>
      <c r="C63" s="27" t="s">
        <v>146</v>
      </c>
      <c r="D63" s="28" t="s">
        <v>147</v>
      </c>
      <c r="E63" s="28" t="s">
        <v>148</v>
      </c>
      <c r="F63" s="29">
        <v>0.03</v>
      </c>
      <c r="G63" s="30">
        <v>1</v>
      </c>
      <c r="H63" s="31">
        <f>F63 * G63 * 6337.556666</f>
        <v>190.12669998000001</v>
      </c>
      <c r="I63" s="31">
        <f>F63 * G63 * 24465.64344</f>
        <v>733.96930320000001</v>
      </c>
      <c r="J63" s="31">
        <f>F63 * G63 * 0</f>
        <v>0</v>
      </c>
      <c r="K63" s="31">
        <f>F63 * G63 * 6033.353946</f>
        <v>181.00061837999999</v>
      </c>
      <c r="L63" s="31">
        <f>F63 * G63 * 3867.838175</f>
        <v>116.03514524999999</v>
      </c>
      <c r="M63" s="31">
        <f>F63 * G63 * 1267.511333</f>
        <v>38.025339989999999</v>
      </c>
      <c r="N63" s="32">
        <f>SUM(H63:M63)</f>
        <v>1259.1571068000001</v>
      </c>
      <c r="O63" s="92">
        <f t="shared" si="14"/>
        <v>1541.9826803438825</v>
      </c>
      <c r="P63" s="33">
        <f t="shared" si="15"/>
        <v>2.4240437029866734E-2</v>
      </c>
    </row>
    <row r="64" spans="2:16" s="34" customFormat="1" ht="14.25" x14ac:dyDescent="0.2">
      <c r="B64" s="35"/>
      <c r="C64" s="36" t="s">
        <v>149</v>
      </c>
      <c r="D64" s="96" t="s">
        <v>150</v>
      </c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</row>
    <row r="65" spans="2:16" ht="45" x14ac:dyDescent="0.25">
      <c r="B65" s="26">
        <v>30</v>
      </c>
      <c r="C65" s="27" t="s">
        <v>151</v>
      </c>
      <c r="D65" s="28" t="s">
        <v>152</v>
      </c>
      <c r="E65" s="28" t="s">
        <v>153</v>
      </c>
      <c r="F65" s="29">
        <v>1</v>
      </c>
      <c r="G65" s="30">
        <v>1</v>
      </c>
      <c r="H65" s="31">
        <f>F65 * G65 * 947.42154</f>
        <v>947.42154000000005</v>
      </c>
      <c r="I65" s="31">
        <f>F65 * G65 * 596.811623</f>
        <v>596.81162300000005</v>
      </c>
      <c r="J65" s="31">
        <f>F65 * G65 * 0</f>
        <v>0</v>
      </c>
      <c r="K65" s="31">
        <f>F65 * G65 * 901.945306</f>
        <v>901.94530599999996</v>
      </c>
      <c r="L65" s="31">
        <f>F65 * G65 * 256.848739</f>
        <v>256.84873900000002</v>
      </c>
      <c r="M65" s="31">
        <f>F65 * G65 * 189.484308</f>
        <v>189.484308</v>
      </c>
      <c r="N65" s="32">
        <f>SUM(H65:M65)</f>
        <v>2892.511516</v>
      </c>
      <c r="O65" s="92">
        <f>N65*1.07*1.09*1.05</f>
        <v>3542.2129901663407</v>
      </c>
      <c r="P65" s="33">
        <f>IF($P$9&gt;0,O65/$P$9/12,0)</f>
        <v>5.5684666260553684E-2</v>
      </c>
    </row>
    <row r="66" spans="2:16" s="34" customFormat="1" ht="14.25" x14ac:dyDescent="0.2">
      <c r="B66" s="35"/>
      <c r="C66" s="36" t="s">
        <v>154</v>
      </c>
      <c r="D66" s="96" t="s">
        <v>155</v>
      </c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</row>
    <row r="67" spans="2:16" ht="60" x14ac:dyDescent="0.25">
      <c r="B67" s="26">
        <v>31</v>
      </c>
      <c r="C67" s="27" t="s">
        <v>156</v>
      </c>
      <c r="D67" s="28" t="s">
        <v>157</v>
      </c>
      <c r="E67" s="28" t="s">
        <v>148</v>
      </c>
      <c r="F67" s="29"/>
      <c r="G67" s="30">
        <v>1</v>
      </c>
      <c r="H67" s="31">
        <f>F67 * G67 * 47980.936125</f>
        <v>0</v>
      </c>
      <c r="I67" s="31">
        <f>F67 * G67 * 7247.529432</f>
        <v>0</v>
      </c>
      <c r="J67" s="31">
        <f>F67 * G67 * 209.94316</f>
        <v>0</v>
      </c>
      <c r="K67" s="31">
        <f>F67 * G67 * 45853.241054</f>
        <v>0</v>
      </c>
      <c r="L67" s="31">
        <f>F67 * G67 * 10635.623226</f>
        <v>0</v>
      </c>
      <c r="M67" s="31">
        <f>F67 * G67 * 9633.033835</f>
        <v>0</v>
      </c>
      <c r="N67" s="32">
        <f>SUM(H67:M67)</f>
        <v>0</v>
      </c>
      <c r="O67" s="92">
        <f>N67*1.07*1.09*1.05</f>
        <v>0</v>
      </c>
      <c r="P67" s="33">
        <f>IF($P$9&gt;0,O67/$P$9/12,0)</f>
        <v>0</v>
      </c>
    </row>
    <row r="68" spans="2:16" s="22" customFormat="1" ht="13.9" customHeight="1" x14ac:dyDescent="0.2">
      <c r="B68" s="23"/>
      <c r="C68" s="24" t="s">
        <v>158</v>
      </c>
      <c r="D68" s="100" t="s">
        <v>159</v>
      </c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</row>
    <row r="69" spans="2:16" s="34" customFormat="1" ht="14.25" x14ac:dyDescent="0.2">
      <c r="B69" s="35"/>
      <c r="C69" s="36" t="s">
        <v>160</v>
      </c>
      <c r="D69" s="96" t="s">
        <v>161</v>
      </c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</row>
    <row r="70" spans="2:16" s="34" customFormat="1" ht="14.25" x14ac:dyDescent="0.2">
      <c r="B70" s="35"/>
      <c r="C70" s="36" t="s">
        <v>162</v>
      </c>
      <c r="D70" s="104" t="s">
        <v>163</v>
      </c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</row>
    <row r="71" spans="2:16" x14ac:dyDescent="0.25">
      <c r="B71" s="26">
        <v>32</v>
      </c>
      <c r="C71" s="27" t="s">
        <v>164</v>
      </c>
      <c r="D71" s="28" t="s">
        <v>165</v>
      </c>
      <c r="E71" s="28" t="s">
        <v>166</v>
      </c>
      <c r="F71" s="29">
        <v>0.04</v>
      </c>
      <c r="G71" s="30">
        <v>1</v>
      </c>
      <c r="H71" s="31">
        <f>F71 * G71 * 4307.26518</f>
        <v>172.29060720000001</v>
      </c>
      <c r="I71" s="31">
        <f>F71 * G71 * 40964.189954</f>
        <v>1638.56759816</v>
      </c>
      <c r="J71" s="31">
        <f>F71 * G71 * 118.48095</f>
        <v>4.7392380000000003</v>
      </c>
      <c r="K71" s="31">
        <f>F71 * G71 * 4139.782838</f>
        <v>165.59131352</v>
      </c>
      <c r="L71" s="31">
        <f>F71 * G71 * 5200.62048699999</f>
        <v>208.02481947999962</v>
      </c>
      <c r="M71" s="31">
        <f>F71 * G71 * 869.702277</f>
        <v>34.788091080000001</v>
      </c>
      <c r="N71" s="32">
        <f>SUM(H71:M71)</f>
        <v>2224.0016674399994</v>
      </c>
      <c r="O71" s="92">
        <f>N71*1.07*1.09*1.05</f>
        <v>2723.5458019720354</v>
      </c>
      <c r="P71" s="33">
        <f>IF($P$9&gt;0,O71/$P$9/12,0)</f>
        <v>4.2814968904798391E-2</v>
      </c>
    </row>
    <row r="72" spans="2:16" s="34" customFormat="1" ht="14.25" x14ac:dyDescent="0.2">
      <c r="B72" s="35"/>
      <c r="C72" s="36" t="s">
        <v>167</v>
      </c>
      <c r="D72" s="96" t="s">
        <v>168</v>
      </c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</row>
    <row r="73" spans="2:16" s="34" customFormat="1" ht="14.25" x14ac:dyDescent="0.2">
      <c r="B73" s="35"/>
      <c r="C73" s="36" t="s">
        <v>169</v>
      </c>
      <c r="D73" s="104" t="s">
        <v>170</v>
      </c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</row>
    <row r="74" spans="2:16" ht="30" x14ac:dyDescent="0.25">
      <c r="B74" s="26">
        <v>33</v>
      </c>
      <c r="C74" s="27" t="s">
        <v>171</v>
      </c>
      <c r="D74" s="28" t="s">
        <v>172</v>
      </c>
      <c r="E74" s="28" t="s">
        <v>173</v>
      </c>
      <c r="F74" s="29">
        <v>0.04</v>
      </c>
      <c r="G74" s="30">
        <v>1</v>
      </c>
      <c r="H74" s="31">
        <f>F74 * G74 * 8294.617152</f>
        <v>331.78468608000003</v>
      </c>
      <c r="I74" s="31">
        <f>F74 * G74 * 79662.689878</f>
        <v>3186.5075951200001</v>
      </c>
      <c r="J74" s="31">
        <f>F74 * G74 * 226.60841</f>
        <v>9.0643364000000002</v>
      </c>
      <c r="K74" s="31">
        <f>F74 * G74 * 7967.155026</f>
        <v>318.68620104000001</v>
      </c>
      <c r="L74" s="31">
        <f>F74 * G74 * 10095.862399</f>
        <v>403.83449595999997</v>
      </c>
      <c r="M74" s="31">
        <f>F74 * G74 * 1673.772064</f>
        <v>66.950882559999997</v>
      </c>
      <c r="N74" s="32">
        <f>SUM(H74:M74)</f>
        <v>4316.8281971599999</v>
      </c>
      <c r="O74" s="92">
        <f t="shared" ref="O74:O75" si="16">N74*1.07*1.09*1.05</f>
        <v>5286.4525626650939</v>
      </c>
      <c r="P74" s="33">
        <f t="shared" ref="P74:P75" si="17">IF($P$9&gt;0,O74/$P$9/12,0)</f>
        <v>8.3104643190987454E-2</v>
      </c>
    </row>
    <row r="75" spans="2:16" x14ac:dyDescent="0.25">
      <c r="B75" s="26">
        <v>34</v>
      </c>
      <c r="C75" s="27" t="s">
        <v>174</v>
      </c>
      <c r="D75" s="28" t="s">
        <v>175</v>
      </c>
      <c r="E75" s="28" t="s">
        <v>176</v>
      </c>
      <c r="F75" s="29">
        <v>0.04</v>
      </c>
      <c r="G75" s="30">
        <v>1</v>
      </c>
      <c r="H75" s="31">
        <f>F75 * G75 * 23223.66395</f>
        <v>928.94655799999998</v>
      </c>
      <c r="I75" s="31">
        <f>F75 * G75 * 32635.008571</f>
        <v>1305.4003428399999</v>
      </c>
      <c r="J75" s="31">
        <f>F75 * G75 * 0</f>
        <v>0</v>
      </c>
      <c r="K75" s="31">
        <f>F75 * G75 * 22108.928081</f>
        <v>884.35712323999996</v>
      </c>
      <c r="L75" s="31">
        <f>F75 * G75 * 8186.59806299999</f>
        <v>327.46392251999964</v>
      </c>
      <c r="M75" s="31">
        <f>F75 * G75 * 4644.73279</f>
        <v>185.78931159999999</v>
      </c>
      <c r="N75" s="32">
        <f>SUM(H75:M75)</f>
        <v>3631.9572581999996</v>
      </c>
      <c r="O75" s="92">
        <f t="shared" si="16"/>
        <v>4447.7493377505925</v>
      </c>
      <c r="P75" s="33">
        <f t="shared" si="17"/>
        <v>6.9919973240121239E-2</v>
      </c>
    </row>
    <row r="76" spans="2:16" s="34" customFormat="1" ht="14.25" x14ac:dyDescent="0.2">
      <c r="B76" s="35"/>
      <c r="C76" s="36" t="s">
        <v>177</v>
      </c>
      <c r="D76" s="96" t="s">
        <v>178</v>
      </c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</row>
    <row r="77" spans="2:16" x14ac:dyDescent="0.25">
      <c r="B77" s="26">
        <v>35</v>
      </c>
      <c r="C77" s="27" t="s">
        <v>179</v>
      </c>
      <c r="D77" s="28" t="s">
        <v>180</v>
      </c>
      <c r="E77" s="28" t="s">
        <v>181</v>
      </c>
      <c r="F77" s="29">
        <v>0.4</v>
      </c>
      <c r="G77" s="30">
        <v>1</v>
      </c>
      <c r="H77" s="31">
        <f>F77 * G77 * 870.49415</f>
        <v>348.19766000000004</v>
      </c>
      <c r="I77" s="31">
        <f>F77 * G77 * 2886.96601</f>
        <v>1154.7864040000002</v>
      </c>
      <c r="J77" s="31">
        <f>F77 * G77 * 0</f>
        <v>0</v>
      </c>
      <c r="K77" s="31">
        <f>F77 * G77 * 828.710431</f>
        <v>331.48417240000003</v>
      </c>
      <c r="L77" s="31">
        <f>F77 * G77 * 481.547912</f>
        <v>192.61916480000002</v>
      </c>
      <c r="M77" s="31">
        <f>F77 * G77 * 174.09883</f>
        <v>69.639532000000003</v>
      </c>
      <c r="N77" s="32">
        <f>SUM(H77:M77)</f>
        <v>2096.7269332000005</v>
      </c>
      <c r="O77" s="92">
        <f t="shared" ref="O77:O79" si="18">N77*1.07*1.09*1.05</f>
        <v>2567.6832533007191</v>
      </c>
      <c r="P77" s="33">
        <f t="shared" ref="P77:P79" si="19">IF($P$9&gt;0,O77/$P$9/12,0)</f>
        <v>4.0364762203683568E-2</v>
      </c>
    </row>
    <row r="78" spans="2:16" ht="45" x14ac:dyDescent="0.25">
      <c r="B78" s="26">
        <v>36</v>
      </c>
      <c r="C78" s="27" t="s">
        <v>182</v>
      </c>
      <c r="D78" s="28" t="s">
        <v>183</v>
      </c>
      <c r="E78" s="28" t="s">
        <v>53</v>
      </c>
      <c r="F78" s="29">
        <v>0.02</v>
      </c>
      <c r="G78" s="30">
        <v>1</v>
      </c>
      <c r="H78" s="31">
        <f>F78 * G78 * 30827.8725</f>
        <v>616.55745000000002</v>
      </c>
      <c r="I78" s="31">
        <f>F78 * G78 * 10627.539883</f>
        <v>212.55079766</v>
      </c>
      <c r="J78" s="31">
        <f>F78 * G78 * 0</f>
        <v>0</v>
      </c>
      <c r="K78" s="31">
        <f>F78 * G78 * 29348.13462</f>
        <v>586.96269240000004</v>
      </c>
      <c r="L78" s="31">
        <f>F78 * G78 * 7434.372435</f>
        <v>148.6874487</v>
      </c>
      <c r="M78" s="31">
        <f>F78 * G78 * 6165.5745</f>
        <v>123.31148999999999</v>
      </c>
      <c r="N78" s="32">
        <f>SUM(H78:M78)</f>
        <v>1688.0698787599999</v>
      </c>
      <c r="O78" s="92">
        <f t="shared" si="18"/>
        <v>2067.2356945776778</v>
      </c>
      <c r="P78" s="33">
        <f t="shared" si="19"/>
        <v>3.2497574271798994E-2</v>
      </c>
    </row>
    <row r="79" spans="2:16" ht="45" x14ac:dyDescent="0.25">
      <c r="B79" s="26">
        <v>37</v>
      </c>
      <c r="C79" s="27" t="s">
        <v>184</v>
      </c>
      <c r="D79" s="28" t="s">
        <v>185</v>
      </c>
      <c r="E79" s="28" t="s">
        <v>53</v>
      </c>
      <c r="F79" s="29">
        <v>0.02</v>
      </c>
      <c r="G79" s="30">
        <v>1</v>
      </c>
      <c r="H79" s="31">
        <f>F79 * G79 * 7177.70196</f>
        <v>143.55403920000001</v>
      </c>
      <c r="I79" s="31">
        <f>F79 * G79 * 2957.723572</f>
        <v>59.154471440000002</v>
      </c>
      <c r="J79" s="31">
        <f>F79 * G79 * 0</f>
        <v>0</v>
      </c>
      <c r="K79" s="31">
        <f>F79 * G79 * 6833.172266</f>
        <v>136.66344531999999</v>
      </c>
      <c r="L79" s="31">
        <f>F79 * G79 * 1781.702769</f>
        <v>35.63405538</v>
      </c>
      <c r="M79" s="31">
        <f>F79 * G79 * 1435.540392</f>
        <v>28.710807840000001</v>
      </c>
      <c r="N79" s="32">
        <f>SUM(H79:M79)</f>
        <v>403.71681918000002</v>
      </c>
      <c r="O79" s="92">
        <f t="shared" si="18"/>
        <v>494.3976725201158</v>
      </c>
      <c r="P79" s="33">
        <f t="shared" si="19"/>
        <v>7.7720818795214081E-3</v>
      </c>
    </row>
    <row r="80" spans="2:16" s="34" customFormat="1" ht="14.25" x14ac:dyDescent="0.2">
      <c r="B80" s="35"/>
      <c r="C80" s="36" t="s">
        <v>186</v>
      </c>
      <c r="D80" s="96" t="s">
        <v>187</v>
      </c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</row>
    <row r="81" spans="2:16" x14ac:dyDescent="0.25">
      <c r="B81" s="26">
        <v>38</v>
      </c>
      <c r="C81" s="27" t="s">
        <v>188</v>
      </c>
      <c r="D81" s="28" t="s">
        <v>189</v>
      </c>
      <c r="E81" s="28" t="s">
        <v>190</v>
      </c>
      <c r="F81" s="29">
        <v>0.03</v>
      </c>
      <c r="G81" s="30">
        <v>1</v>
      </c>
      <c r="H81" s="31">
        <f>F81 * G81 * 28955.434086</f>
        <v>868.66302257999996</v>
      </c>
      <c r="I81" s="31">
        <f>F81 * G81 * 6866.87143</f>
        <v>206.00614289999999</v>
      </c>
      <c r="J81" s="31">
        <f>F81 * G81 * 6.2216</f>
        <v>0.18664799999999998</v>
      </c>
      <c r="K81" s="31">
        <f>F81 * G81 * 27565.57325</f>
        <v>826.9671975</v>
      </c>
      <c r="L81" s="31">
        <f>F81 * G81 * 6656.380539</f>
        <v>199.69141617</v>
      </c>
      <c r="M81" s="31">
        <f>F81 * G81 * 5791.086817</f>
        <v>173.73260451000002</v>
      </c>
      <c r="N81" s="32">
        <f>SUM(H81:M81)</f>
        <v>2275.2470316600002</v>
      </c>
      <c r="O81" s="92">
        <f>N81*1.07*1.09*1.05</f>
        <v>2786.3016436763114</v>
      </c>
      <c r="P81" s="33">
        <f>IF($P$9&gt;0,O81/$P$9/12,0)</f>
        <v>4.3801509835822039E-2</v>
      </c>
    </row>
    <row r="82" spans="2:16" s="34" customFormat="1" ht="14.25" x14ac:dyDescent="0.2">
      <c r="B82" s="35"/>
      <c r="C82" s="36" t="s">
        <v>191</v>
      </c>
      <c r="D82" s="96" t="s">
        <v>192</v>
      </c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</row>
    <row r="83" spans="2:16" ht="30" x14ac:dyDescent="0.25">
      <c r="B83" s="26">
        <v>39</v>
      </c>
      <c r="C83" s="27" t="s">
        <v>193</v>
      </c>
      <c r="D83" s="28" t="s">
        <v>194</v>
      </c>
      <c r="E83" s="28" t="s">
        <v>195</v>
      </c>
      <c r="F83" s="29">
        <v>0.01</v>
      </c>
      <c r="G83" s="30">
        <v>1</v>
      </c>
      <c r="H83" s="31">
        <f>F83 * G83 * 8479.6272</f>
        <v>84.796272000000016</v>
      </c>
      <c r="I83" s="31">
        <f>F83 * G83 * 4799.533824</f>
        <v>47.995338240000002</v>
      </c>
      <c r="J83" s="31">
        <f>F83 * G83 * 0</f>
        <v>0</v>
      </c>
      <c r="K83" s="31">
        <f>F83 * G83 * 8072.605094</f>
        <v>80.726050939999993</v>
      </c>
      <c r="L83" s="31">
        <f>F83 * G83 * 2241.935443</f>
        <v>22.419354429999999</v>
      </c>
      <c r="M83" s="31">
        <f>F83 * G83 * 1695.92544</f>
        <v>16.959254399999999</v>
      </c>
      <c r="N83" s="32">
        <f>SUM(H83:M83)</f>
        <v>252.89627000999999</v>
      </c>
      <c r="O83" s="92">
        <f t="shared" ref="O83:O84" si="20">N83*1.07*1.09*1.05</f>
        <v>309.7005656982962</v>
      </c>
      <c r="P83" s="33">
        <f t="shared" ref="P83:P84" si="21">IF($P$9&gt;0,O83/$P$9/12,0)</f>
        <v>4.8685871486244137E-3</v>
      </c>
    </row>
    <row r="84" spans="2:16" ht="45" x14ac:dyDescent="0.25">
      <c r="B84" s="26">
        <v>40</v>
      </c>
      <c r="C84" s="27" t="s">
        <v>196</v>
      </c>
      <c r="D84" s="28" t="s">
        <v>52</v>
      </c>
      <c r="E84" s="28" t="s">
        <v>53</v>
      </c>
      <c r="F84" s="29">
        <v>0.01</v>
      </c>
      <c r="G84" s="30">
        <v>1</v>
      </c>
      <c r="H84" s="31">
        <f>F84 * G84 * 43159.0215</f>
        <v>431.59021500000006</v>
      </c>
      <c r="I84" s="31">
        <f>F84 * G84 * 59681.1623039999</f>
        <v>596.81162303999906</v>
      </c>
      <c r="J84" s="31">
        <f>F84 * G84 * 0</f>
        <v>0</v>
      </c>
      <c r="K84" s="31">
        <f>F84 * G84 * 41087.388468</f>
        <v>410.87388468</v>
      </c>
      <c r="L84" s="31">
        <f>F84 * G84 * 15112.395088</f>
        <v>151.12395088</v>
      </c>
      <c r="M84" s="31">
        <f>F84 * G84 * 8631.8043</f>
        <v>86.318043000000003</v>
      </c>
      <c r="N84" s="32">
        <f>SUM(H84:M84)</f>
        <v>1676.717716599999</v>
      </c>
      <c r="O84" s="92">
        <f t="shared" si="20"/>
        <v>2053.3336665141082</v>
      </c>
      <c r="P84" s="33">
        <f t="shared" si="21"/>
        <v>3.2279030159625674E-2</v>
      </c>
    </row>
    <row r="85" spans="2:16" s="34" customFormat="1" ht="14.25" x14ac:dyDescent="0.2">
      <c r="B85" s="35"/>
      <c r="C85" s="36" t="s">
        <v>197</v>
      </c>
      <c r="D85" s="96" t="s">
        <v>198</v>
      </c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</row>
    <row r="86" spans="2:16" ht="30" x14ac:dyDescent="0.25">
      <c r="B86" s="26">
        <v>41</v>
      </c>
      <c r="C86" s="27" t="s">
        <v>199</v>
      </c>
      <c r="D86" s="28" t="s">
        <v>200</v>
      </c>
      <c r="E86" s="28" t="s">
        <v>201</v>
      </c>
      <c r="F86" s="29">
        <v>0.05</v>
      </c>
      <c r="G86" s="30">
        <v>1</v>
      </c>
      <c r="H86" s="31">
        <f>F86 * G86 * 15802.9416</f>
        <v>790.14708000000007</v>
      </c>
      <c r="I86" s="31">
        <f>F86 * G86 * 47637.450361</f>
        <v>2381.8725180500001</v>
      </c>
      <c r="J86" s="31">
        <f>F86 * G86 * 0</f>
        <v>0</v>
      </c>
      <c r="K86" s="31">
        <f>F86 * G86 * 15044.400403</f>
        <v>752.22002014999998</v>
      </c>
      <c r="L86" s="31">
        <f>F86 * G86 * 8240.903198</f>
        <v>412.04515990000004</v>
      </c>
      <c r="M86" s="31">
        <f>F86 * G86 * 3160.58832</f>
        <v>158.029416</v>
      </c>
      <c r="N86" s="32">
        <f>SUM(H86:M86)</f>
        <v>4494.3141941000003</v>
      </c>
      <c r="O86" s="92">
        <f t="shared" ref="O86:O87" si="22">N86*1.07*1.09*1.05</f>
        <v>5503.8045768077727</v>
      </c>
      <c r="P86" s="33">
        <f t="shared" ref="P86:P87" si="23">IF($P$9&gt;0,O86/$P$9/12,0)</f>
        <v>8.6521483003329125E-2</v>
      </c>
    </row>
    <row r="87" spans="2:16" ht="30" x14ac:dyDescent="0.25">
      <c r="B87" s="26">
        <v>42</v>
      </c>
      <c r="C87" s="27" t="s">
        <v>202</v>
      </c>
      <c r="D87" s="28" t="s">
        <v>203</v>
      </c>
      <c r="E87" s="28" t="s">
        <v>204</v>
      </c>
      <c r="F87" s="29">
        <v>0.05</v>
      </c>
      <c r="G87" s="30">
        <v>0.2</v>
      </c>
      <c r="H87" s="31">
        <f>F87 * G87 * 22740.8184</f>
        <v>227.40818400000003</v>
      </c>
      <c r="I87" s="31">
        <f>F87 * G87 * 53191.079831</f>
        <v>531.91079831000013</v>
      </c>
      <c r="J87" s="31">
        <f>F87 * G87 * 0</f>
        <v>0</v>
      </c>
      <c r="K87" s="31">
        <f>F87 * G87 * 21649.259117</f>
        <v>216.49259117000005</v>
      </c>
      <c r="L87" s="31">
        <f>F87 * G87 * 10246.021522</f>
        <v>102.46021522000001</v>
      </c>
      <c r="M87" s="31">
        <f>F87 * G87 * 4548.16368</f>
        <v>45.481636800000004</v>
      </c>
      <c r="N87" s="32">
        <f>SUM(H87:M87)</f>
        <v>1123.7534255000003</v>
      </c>
      <c r="O87" s="92">
        <f t="shared" si="22"/>
        <v>1376.1653011686831</v>
      </c>
      <c r="P87" s="33">
        <f t="shared" si="23"/>
        <v>2.1633737363527056E-2</v>
      </c>
    </row>
    <row r="88" spans="2:16" s="34" customFormat="1" ht="14.25" x14ac:dyDescent="0.2">
      <c r="B88" s="35"/>
      <c r="C88" s="36" t="s">
        <v>205</v>
      </c>
      <c r="D88" s="96" t="s">
        <v>206</v>
      </c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</row>
    <row r="89" spans="2:16" ht="30" x14ac:dyDescent="0.25">
      <c r="B89" s="26">
        <v>43</v>
      </c>
      <c r="C89" s="27" t="s">
        <v>207</v>
      </c>
      <c r="D89" s="28" t="s">
        <v>208</v>
      </c>
      <c r="E89" s="28" t="s">
        <v>201</v>
      </c>
      <c r="F89" s="29">
        <v>0.01</v>
      </c>
      <c r="G89" s="30">
        <v>1</v>
      </c>
      <c r="H89" s="31">
        <f>F89 * G89 * 12719.4408</f>
        <v>127.19440800000001</v>
      </c>
      <c r="I89" s="31">
        <f>F89 * G89 * 44825.887243</f>
        <v>448.25887243</v>
      </c>
      <c r="J89" s="31">
        <f>F89 * G89 * 0</f>
        <v>0</v>
      </c>
      <c r="K89" s="31">
        <f>F89 * G89 * 12108.907642</f>
        <v>121.08907642</v>
      </c>
      <c r="L89" s="31">
        <f>F89 * G89 * 7313.694746</f>
        <v>73.136947460000002</v>
      </c>
      <c r="M89" s="31">
        <f>F89 * G89 * 2543.88816</f>
        <v>25.438881600000002</v>
      </c>
      <c r="N89" s="32">
        <f>SUM(H89:M89)</f>
        <v>795.11818590999997</v>
      </c>
      <c r="O89" s="92">
        <f t="shared" ref="O89:O90" si="24">N89*1.07*1.09*1.05</f>
        <v>973.71365723817485</v>
      </c>
      <c r="P89" s="33">
        <f t="shared" ref="P89:P90" si="25">IF($P$9&gt;0,O89/$P$9/12,0)</f>
        <v>1.5307075036756821E-2</v>
      </c>
    </row>
    <row r="90" spans="2:16" ht="30" x14ac:dyDescent="0.25">
      <c r="B90" s="26">
        <v>44</v>
      </c>
      <c r="C90" s="27" t="s">
        <v>209</v>
      </c>
      <c r="D90" s="28" t="s">
        <v>210</v>
      </c>
      <c r="E90" s="28" t="s">
        <v>211</v>
      </c>
      <c r="F90" s="29">
        <v>0.01</v>
      </c>
      <c r="G90" s="30">
        <v>1</v>
      </c>
      <c r="H90" s="31">
        <f>F90 * G90 * 41819.9796</f>
        <v>418.19979599999999</v>
      </c>
      <c r="I90" s="31">
        <f>F90 * G90 * 33790.864713</f>
        <v>337.90864713000002</v>
      </c>
      <c r="J90" s="31">
        <f>F90 * G90 * 0</f>
        <v>0</v>
      </c>
      <c r="K90" s="31">
        <f>F90 * G90 * 39812.620579</f>
        <v>398.12620579000003</v>
      </c>
      <c r="L90" s="31">
        <f>F90 * G90 * 12119.463813</f>
        <v>121.19463813</v>
      </c>
      <c r="M90" s="31">
        <f>F90 * G90 * 8363.99592</f>
        <v>83.639959199999993</v>
      </c>
      <c r="N90" s="32">
        <f>SUM(H90:M90)</f>
        <v>1359.0692462500001</v>
      </c>
      <c r="O90" s="92">
        <f t="shared" si="24"/>
        <v>1664.3365849964439</v>
      </c>
      <c r="P90" s="33">
        <f t="shared" si="25"/>
        <v>2.6163877648815378E-2</v>
      </c>
    </row>
    <row r="91" spans="2:16" s="34" customFormat="1" ht="14.25" x14ac:dyDescent="0.2">
      <c r="B91" s="35"/>
      <c r="C91" s="36" t="s">
        <v>212</v>
      </c>
      <c r="D91" s="96" t="s">
        <v>213</v>
      </c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</row>
    <row r="92" spans="2:16" ht="30" x14ac:dyDescent="0.25">
      <c r="B92" s="26">
        <v>45</v>
      </c>
      <c r="C92" s="27" t="s">
        <v>214</v>
      </c>
      <c r="D92" s="28" t="s">
        <v>215</v>
      </c>
      <c r="E92" s="28" t="s">
        <v>195</v>
      </c>
      <c r="F92" s="29">
        <v>0.15</v>
      </c>
      <c r="G92" s="30">
        <v>0.2</v>
      </c>
      <c r="H92" s="31">
        <f>F92 * G92 * 10214.0964</f>
        <v>306.42289199999999</v>
      </c>
      <c r="I92" s="31">
        <f>F92 * G92 * 4834.205154</f>
        <v>145.02615462</v>
      </c>
      <c r="J92" s="31">
        <f>F92 * G92 * 0</f>
        <v>0</v>
      </c>
      <c r="K92" s="31">
        <f>F92 * G92 * 9723.819773</f>
        <v>291.71459318999996</v>
      </c>
      <c r="L92" s="31">
        <f>F92 * G92 * 2601.07274</f>
        <v>78.032182199999994</v>
      </c>
      <c r="M92" s="31">
        <f>F92 * G92 * 2042.81928</f>
        <v>61.284578399999994</v>
      </c>
      <c r="N92" s="32">
        <f>SUM(H92:M92)</f>
        <v>882.4804004099999</v>
      </c>
      <c r="O92" s="92">
        <f t="shared" ref="O92:O94" si="26">N92*1.07*1.09*1.05</f>
        <v>1080.6987355480924</v>
      </c>
      <c r="P92" s="33">
        <f t="shared" ref="P92:P94" si="27">IF($P$9&gt;0,O92/$P$9/12,0)</f>
        <v>1.6988913028172237E-2</v>
      </c>
    </row>
    <row r="93" spans="2:16" x14ac:dyDescent="0.25">
      <c r="B93" s="26">
        <v>46</v>
      </c>
      <c r="C93" s="27" t="s">
        <v>216</v>
      </c>
      <c r="D93" s="28" t="s">
        <v>217</v>
      </c>
      <c r="E93" s="28" t="s">
        <v>218</v>
      </c>
      <c r="F93" s="29">
        <v>0.15</v>
      </c>
      <c r="G93" s="30">
        <v>0.2</v>
      </c>
      <c r="H93" s="31">
        <f>F93 * G93 * 10122.025</f>
        <v>303.66074999999995</v>
      </c>
      <c r="I93" s="31">
        <f>F93 * G93 * 8942.2848</f>
        <v>268.26854399999996</v>
      </c>
      <c r="J93" s="31">
        <f>F93 * G93 * 0</f>
        <v>0</v>
      </c>
      <c r="K93" s="31">
        <f>F93 * G93 * 9636.1678</f>
        <v>289.08503399999995</v>
      </c>
      <c r="L93" s="31">
        <f>F93 * G93 * 3013.550148</f>
        <v>90.406504439999992</v>
      </c>
      <c r="M93" s="31">
        <f>F93 * G93 * 2024.405</f>
        <v>60.732149999999997</v>
      </c>
      <c r="N93" s="32">
        <f>SUM(H93:M93)</f>
        <v>1012.15298244</v>
      </c>
      <c r="O93" s="92">
        <f t="shared" si="26"/>
        <v>1239.497724590761</v>
      </c>
      <c r="P93" s="33">
        <f t="shared" si="27"/>
        <v>1.9485281465615938E-2</v>
      </c>
    </row>
    <row r="94" spans="2:16" x14ac:dyDescent="0.25">
      <c r="B94" s="26">
        <v>47</v>
      </c>
      <c r="C94" s="27" t="s">
        <v>219</v>
      </c>
      <c r="D94" s="28" t="s">
        <v>220</v>
      </c>
      <c r="E94" s="28" t="s">
        <v>221</v>
      </c>
      <c r="F94" s="29">
        <v>0.15</v>
      </c>
      <c r="G94" s="30">
        <v>0.2</v>
      </c>
      <c r="H94" s="31">
        <f>F94 * G94 * 10984.9716</f>
        <v>329.549148</v>
      </c>
      <c r="I94" s="31">
        <f>F94 * G94 * 11366.870669</f>
        <v>341.00612007000001</v>
      </c>
      <c r="J94" s="31">
        <f>F94 * G94 * 0</f>
        <v>0</v>
      </c>
      <c r="K94" s="31">
        <f>F94 * G94 * 10457.692963</f>
        <v>313.73078888999999</v>
      </c>
      <c r="L94" s="31">
        <f>F94 * G94 * 3445.001199</f>
        <v>103.35003596999999</v>
      </c>
      <c r="M94" s="31">
        <f>F94 * G94 * 2196.99432</f>
        <v>65.909829599999995</v>
      </c>
      <c r="N94" s="32">
        <f>SUM(H94:M94)</f>
        <v>1153.5459225299999</v>
      </c>
      <c r="O94" s="92">
        <f t="shared" si="26"/>
        <v>1412.649639919076</v>
      </c>
      <c r="P94" s="33">
        <f t="shared" si="27"/>
        <v>2.220728227251267E-2</v>
      </c>
    </row>
    <row r="95" spans="2:16" s="34" customFormat="1" ht="14.25" x14ac:dyDescent="0.2">
      <c r="B95" s="35"/>
      <c r="C95" s="36" t="s">
        <v>222</v>
      </c>
      <c r="D95" s="96" t="s">
        <v>223</v>
      </c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</row>
    <row r="96" spans="2:16" ht="45" x14ac:dyDescent="0.25">
      <c r="B96" s="26">
        <v>48</v>
      </c>
      <c r="C96" s="27" t="s">
        <v>224</v>
      </c>
      <c r="D96" s="28" t="s">
        <v>225</v>
      </c>
      <c r="E96" s="28" t="s">
        <v>226</v>
      </c>
      <c r="F96" s="29">
        <v>0.08</v>
      </c>
      <c r="G96" s="30">
        <v>0.2</v>
      </c>
      <c r="H96" s="31">
        <f>F96 * G96 * 7948.598332</f>
        <v>127.17757331199999</v>
      </c>
      <c r="I96" s="31">
        <f>F96 * G96 * 17467.456208</f>
        <v>279.47929932800002</v>
      </c>
      <c r="J96" s="31">
        <f>F96 * G96 * 590.3821</f>
        <v>9.4461136000000003</v>
      </c>
      <c r="K96" s="31">
        <f>F96 * G96 * 7734.62394799999</f>
        <v>123.75398316799985</v>
      </c>
      <c r="L96" s="31">
        <f>F96 * G96 * 3542.811362</f>
        <v>56.684981792000002</v>
      </c>
      <c r="M96" s="31">
        <f>F96 * G96 * 1624.920997</f>
        <v>25.998735952000001</v>
      </c>
      <c r="N96" s="32">
        <f>SUM(H96:M96)</f>
        <v>622.5406871519998</v>
      </c>
      <c r="O96" s="92">
        <f>N96*1.07*1.09*1.05</f>
        <v>762.37266359664636</v>
      </c>
      <c r="P96" s="33">
        <f>IF($P$9&gt;0,O96/$P$9/12,0)</f>
        <v>1.1984730296117815E-2</v>
      </c>
    </row>
    <row r="97" spans="2:16" s="22" customFormat="1" ht="13.9" customHeight="1" x14ac:dyDescent="0.2">
      <c r="B97" s="23"/>
      <c r="C97" s="24" t="s">
        <v>227</v>
      </c>
      <c r="D97" s="100" t="s">
        <v>228</v>
      </c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</row>
    <row r="98" spans="2:16" s="34" customFormat="1" ht="14.25" x14ac:dyDescent="0.2">
      <c r="B98" s="35"/>
      <c r="C98" s="36" t="s">
        <v>229</v>
      </c>
      <c r="D98" s="96" t="s">
        <v>230</v>
      </c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</row>
    <row r="99" spans="2:16" x14ac:dyDescent="0.25">
      <c r="B99" s="26">
        <v>49</v>
      </c>
      <c r="C99" s="27" t="s">
        <v>231</v>
      </c>
      <c r="D99" s="28" t="s">
        <v>232</v>
      </c>
      <c r="E99" s="28" t="s">
        <v>233</v>
      </c>
      <c r="F99" s="29">
        <v>0.1</v>
      </c>
      <c r="G99" s="30">
        <v>0.5</v>
      </c>
      <c r="H99" s="31">
        <f>F99 * G99 * 13756.16262</f>
        <v>687.808131</v>
      </c>
      <c r="I99" s="31">
        <f>F99 * G99 * 15070.617201</f>
        <v>753.53086005</v>
      </c>
      <c r="J99" s="31">
        <f t="shared" ref="J99:J106" si="28">F99 * G99 * 0</f>
        <v>0</v>
      </c>
      <c r="K99" s="31">
        <f>F99 * G99 * 13095.866814</f>
        <v>654.79334070000004</v>
      </c>
      <c r="L99" s="31">
        <f>F99 * G99 * 4401.877897</f>
        <v>220.09389485000003</v>
      </c>
      <c r="M99" s="31">
        <f>F99 * G99 * 2751.232524</f>
        <v>137.56162620000001</v>
      </c>
      <c r="N99" s="32">
        <f t="shared" ref="N99:N106" si="29">SUM(H99:M99)</f>
        <v>2453.7878528000001</v>
      </c>
      <c r="O99" s="92">
        <f t="shared" ref="O99:O106" si="30">N99*1.07*1.09*1.05</f>
        <v>3004.9454113566726</v>
      </c>
      <c r="P99" s="33">
        <f t="shared" ref="P99:P106" si="31">IF($P$9&gt;0,O99/$P$9/12,0)</f>
        <v>4.7238656406914929E-2</v>
      </c>
    </row>
    <row r="100" spans="2:16" ht="30" x14ac:dyDescent="0.25">
      <c r="B100" s="26">
        <v>50</v>
      </c>
      <c r="C100" s="27" t="s">
        <v>234</v>
      </c>
      <c r="D100" s="28" t="s">
        <v>235</v>
      </c>
      <c r="E100" s="28" t="s">
        <v>236</v>
      </c>
      <c r="F100" s="29">
        <v>0.2</v>
      </c>
      <c r="G100" s="30">
        <v>1</v>
      </c>
      <c r="H100" s="31">
        <f>F100 * G100 * 1231.42248</f>
        <v>246.28449599999999</v>
      </c>
      <c r="I100" s="31">
        <f>F100 * G100 * 365.698861</f>
        <v>73.13977220000001</v>
      </c>
      <c r="J100" s="31">
        <f t="shared" si="28"/>
        <v>0</v>
      </c>
      <c r="K100" s="31">
        <f>F100 * G100 * 1172.314201</f>
        <v>234.46284019999999</v>
      </c>
      <c r="L100" s="31">
        <f>F100 * G100 * 290.790732</f>
        <v>58.1581464</v>
      </c>
      <c r="M100" s="31">
        <f>F100 * G100 * 246.284496</f>
        <v>49.256899199999999</v>
      </c>
      <c r="N100" s="32">
        <f t="shared" si="29"/>
        <v>661.30215399999997</v>
      </c>
      <c r="O100" s="92">
        <f t="shared" si="30"/>
        <v>809.84053732071015</v>
      </c>
      <c r="P100" s="33">
        <f t="shared" si="31"/>
        <v>1.2730939717674498E-2</v>
      </c>
    </row>
    <row r="101" spans="2:16" ht="30" x14ac:dyDescent="0.25">
      <c r="B101" s="26">
        <v>51</v>
      </c>
      <c r="C101" s="27" t="s">
        <v>237</v>
      </c>
      <c r="D101" s="28" t="s">
        <v>238</v>
      </c>
      <c r="E101" s="28" t="s">
        <v>236</v>
      </c>
      <c r="F101" s="29">
        <v>0.2</v>
      </c>
      <c r="G101" s="30">
        <v>1</v>
      </c>
      <c r="H101" s="31">
        <f>F101 * G101 * 1140.206</f>
        <v>228.0412</v>
      </c>
      <c r="I101" s="31">
        <f>F101 * G101 * 367.259668</f>
        <v>73.451933600000004</v>
      </c>
      <c r="J101" s="31">
        <f t="shared" si="28"/>
        <v>0</v>
      </c>
      <c r="K101" s="31">
        <f>F101 * G101 * 1085.476112</f>
        <v>217.09522240000001</v>
      </c>
      <c r="L101" s="31">
        <f>F101 * G101 * 272.258886999999</f>
        <v>54.451777399999798</v>
      </c>
      <c r="M101" s="31">
        <f>F101 * G101 * 228.0412</f>
        <v>45.608240000000002</v>
      </c>
      <c r="N101" s="32">
        <f t="shared" si="29"/>
        <v>618.64837339999985</v>
      </c>
      <c r="O101" s="92">
        <f t="shared" si="30"/>
        <v>757.60607779124086</v>
      </c>
      <c r="P101" s="33">
        <f t="shared" si="31"/>
        <v>1.1909798116569843E-2</v>
      </c>
    </row>
    <row r="102" spans="2:16" x14ac:dyDescent="0.25">
      <c r="B102" s="26">
        <v>52</v>
      </c>
      <c r="C102" s="27" t="s">
        <v>239</v>
      </c>
      <c r="D102" s="28" t="s">
        <v>240</v>
      </c>
      <c r="E102" s="28" t="s">
        <v>241</v>
      </c>
      <c r="F102" s="29">
        <v>1</v>
      </c>
      <c r="G102" s="30">
        <v>1</v>
      </c>
      <c r="H102" s="31">
        <f>F102 * G102 * 12.14643</f>
        <v>12.146430000000001</v>
      </c>
      <c r="I102" s="31">
        <f>F102 * G102 * 1.50115</f>
        <v>1.50115</v>
      </c>
      <c r="J102" s="31">
        <f t="shared" si="28"/>
        <v>0</v>
      </c>
      <c r="K102" s="31">
        <f>F102 * G102 * 11.563402</f>
        <v>11.563402</v>
      </c>
      <c r="L102" s="31">
        <f>F102 * G102 * 2.647153</f>
        <v>2.6471529999999999</v>
      </c>
      <c r="M102" s="31">
        <f>F102 * G102 * 2.429286</f>
        <v>2.4292859999999998</v>
      </c>
      <c r="N102" s="32">
        <f t="shared" si="29"/>
        <v>30.287421000000002</v>
      </c>
      <c r="O102" s="92">
        <f t="shared" si="30"/>
        <v>37.090430067915008</v>
      </c>
      <c r="P102" s="33">
        <f t="shared" si="31"/>
        <v>5.8307284895797978E-4</v>
      </c>
    </row>
    <row r="103" spans="2:16" x14ac:dyDescent="0.25">
      <c r="B103" s="26">
        <v>53</v>
      </c>
      <c r="C103" s="27" t="s">
        <v>242</v>
      </c>
      <c r="D103" s="28" t="s">
        <v>243</v>
      </c>
      <c r="E103" s="28" t="s">
        <v>244</v>
      </c>
      <c r="F103" s="29">
        <v>2</v>
      </c>
      <c r="G103" s="30">
        <v>1</v>
      </c>
      <c r="H103" s="31">
        <f>F103 * G103 * 30.366075</f>
        <v>60.732149999999997</v>
      </c>
      <c r="I103" s="31">
        <f>F103 * G103 * 155.096104</f>
        <v>310.19220799999999</v>
      </c>
      <c r="J103" s="31">
        <f t="shared" si="28"/>
        <v>0</v>
      </c>
      <c r="K103" s="31">
        <f>F103 * G103 * 28.908504</f>
        <v>57.817008000000001</v>
      </c>
      <c r="L103" s="31">
        <f>F103 * G103 * 22.508921</f>
        <v>45.017842000000002</v>
      </c>
      <c r="M103" s="31">
        <f>F103 * G103 * 6.073215</f>
        <v>12.146430000000001</v>
      </c>
      <c r="N103" s="32">
        <f t="shared" si="29"/>
        <v>485.90563799999995</v>
      </c>
      <c r="O103" s="92">
        <f t="shared" si="30"/>
        <v>595.04733287937006</v>
      </c>
      <c r="P103" s="33">
        <f t="shared" si="31"/>
        <v>9.3543251725990394E-3</v>
      </c>
    </row>
    <row r="104" spans="2:16" x14ac:dyDescent="0.25">
      <c r="B104" s="26">
        <v>54</v>
      </c>
      <c r="C104" s="27" t="s">
        <v>245</v>
      </c>
      <c r="D104" s="28" t="s">
        <v>246</v>
      </c>
      <c r="E104" s="28" t="s">
        <v>247</v>
      </c>
      <c r="F104" s="29">
        <v>0.02</v>
      </c>
      <c r="G104" s="30">
        <v>1</v>
      </c>
      <c r="H104" s="31">
        <f>F104 * G104 * 11587.69422</f>
        <v>231.7538844</v>
      </c>
      <c r="I104" s="31">
        <f>F104 * G104 * 14545.312165</f>
        <v>290.90624329999997</v>
      </c>
      <c r="J104" s="31">
        <f t="shared" si="28"/>
        <v>0</v>
      </c>
      <c r="K104" s="31">
        <f>F104 * G104 * 11031.484897</f>
        <v>220.62969794</v>
      </c>
      <c r="L104" s="31">
        <f>F104 * G104 * 3902.271584</f>
        <v>78.045431680000007</v>
      </c>
      <c r="M104" s="31">
        <f>F104 * G104 * 2317.538844</f>
        <v>46.350776880000005</v>
      </c>
      <c r="N104" s="32">
        <f t="shared" si="29"/>
        <v>867.68603419999999</v>
      </c>
      <c r="O104" s="92">
        <f t="shared" si="30"/>
        <v>1062.5813327718331</v>
      </c>
      <c r="P104" s="33">
        <f t="shared" si="31"/>
        <v>1.6704101942586824E-2</v>
      </c>
    </row>
    <row r="105" spans="2:16" x14ac:dyDescent="0.25">
      <c r="B105" s="26">
        <v>55</v>
      </c>
      <c r="C105" s="27" t="s">
        <v>248</v>
      </c>
      <c r="D105" s="28" t="s">
        <v>249</v>
      </c>
      <c r="E105" s="28" t="s">
        <v>250</v>
      </c>
      <c r="F105" s="29">
        <v>0.02</v>
      </c>
      <c r="G105" s="30">
        <v>1</v>
      </c>
      <c r="H105" s="31">
        <f>F105 * G105 * 21620.6454</f>
        <v>432.41290800000002</v>
      </c>
      <c r="I105" s="31">
        <f>F105 * G105 * 64191.056331</f>
        <v>1283.8211266200001</v>
      </c>
      <c r="J105" s="31">
        <f t="shared" si="28"/>
        <v>0</v>
      </c>
      <c r="K105" s="31">
        <f>F105 * G105 * 20582.854421</f>
        <v>411.65708842000004</v>
      </c>
      <c r="L105" s="31">
        <f>F105 * G105 * 11171.428396</f>
        <v>223.42856791999998</v>
      </c>
      <c r="M105" s="31">
        <f>F105 * G105 * 4324.12908</f>
        <v>86.482581599999989</v>
      </c>
      <c r="N105" s="32">
        <f t="shared" si="29"/>
        <v>2437.8022725599999</v>
      </c>
      <c r="O105" s="92">
        <f t="shared" si="30"/>
        <v>2985.3692300110647</v>
      </c>
      <c r="P105" s="33">
        <f t="shared" si="31"/>
        <v>4.6930912878247265E-2</v>
      </c>
    </row>
    <row r="106" spans="2:16" x14ac:dyDescent="0.25">
      <c r="B106" s="26">
        <v>56</v>
      </c>
      <c r="C106" s="27" t="s">
        <v>251</v>
      </c>
      <c r="D106" s="28" t="s">
        <v>252</v>
      </c>
      <c r="E106" s="28" t="s">
        <v>250</v>
      </c>
      <c r="F106" s="29">
        <v>0.02</v>
      </c>
      <c r="G106" s="30">
        <v>1</v>
      </c>
      <c r="H106" s="31">
        <f>F106 * G106 * 14818.6445999999</f>
        <v>296.37289199999799</v>
      </c>
      <c r="I106" s="31">
        <f>F106 * G106 * 67644.90536</f>
        <v>1352.8981072000001</v>
      </c>
      <c r="J106" s="31">
        <f t="shared" si="28"/>
        <v>0</v>
      </c>
      <c r="K106" s="31">
        <f>F106 * G106 * 14107.349659</f>
        <v>282.14699317999998</v>
      </c>
      <c r="L106" s="31">
        <f>F106 * G106 * 10139.94446</f>
        <v>202.79888920000002</v>
      </c>
      <c r="M106" s="31">
        <f>F106 * G106 * 2963.72892</f>
        <v>59.274578400000003</v>
      </c>
      <c r="N106" s="32">
        <f t="shared" si="29"/>
        <v>2193.4914599799981</v>
      </c>
      <c r="O106" s="92">
        <f t="shared" si="30"/>
        <v>2686.1825442634058</v>
      </c>
      <c r="P106" s="33">
        <f t="shared" si="31"/>
        <v>4.2227607122294626E-2</v>
      </c>
    </row>
    <row r="107" spans="2:16" s="34" customFormat="1" ht="14.25" x14ac:dyDescent="0.2">
      <c r="B107" s="35"/>
      <c r="C107" s="36" t="s">
        <v>253</v>
      </c>
      <c r="D107" s="96" t="s">
        <v>254</v>
      </c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</row>
    <row r="108" spans="2:16" x14ac:dyDescent="0.25">
      <c r="B108" s="26">
        <v>57</v>
      </c>
      <c r="C108" s="27" t="s">
        <v>255</v>
      </c>
      <c r="D108" s="28" t="s">
        <v>256</v>
      </c>
      <c r="E108" s="28" t="s">
        <v>257</v>
      </c>
      <c r="F108" s="29">
        <v>0.1</v>
      </c>
      <c r="G108" s="30">
        <v>1</v>
      </c>
      <c r="H108" s="31">
        <f>F108 * G108 * 1680.25615</f>
        <v>168.02561500000002</v>
      </c>
      <c r="I108" s="31">
        <f>F108 * G108 * 253.648478</f>
        <v>25.364847800000003</v>
      </c>
      <c r="J108" s="31">
        <f t="shared" ref="J108:J114" si="32">F108 * G108 * 0</f>
        <v>0</v>
      </c>
      <c r="K108" s="31">
        <f>F108 * G108 * 1599.603854</f>
        <v>159.96038540000001</v>
      </c>
      <c r="L108" s="31">
        <f>F108 * G108 * 371.01839</f>
        <v>37.101839000000005</v>
      </c>
      <c r="M108" s="31">
        <f>F108 * G108 * 336.05123</f>
        <v>33.605122999999999</v>
      </c>
      <c r="N108" s="32">
        <f t="shared" ref="N108:N114" si="33">SUM(H108:M108)</f>
        <v>424.05781020000001</v>
      </c>
      <c r="O108" s="92">
        <f t="shared" ref="O108:O114" si="34">N108*1.07*1.09*1.05</f>
        <v>519.30755523807306</v>
      </c>
      <c r="P108" s="33">
        <f t="shared" ref="P108:P114" si="35">IF($P$9&gt;0,O108/$P$9/12,0)</f>
        <v>8.1636728170482471E-3</v>
      </c>
    </row>
    <row r="109" spans="2:16" ht="30" x14ac:dyDescent="0.25">
      <c r="B109" s="26">
        <v>58</v>
      </c>
      <c r="C109" s="27" t="s">
        <v>258</v>
      </c>
      <c r="D109" s="28" t="s">
        <v>259</v>
      </c>
      <c r="E109" s="28" t="s">
        <v>236</v>
      </c>
      <c r="F109" s="29">
        <v>0.1</v>
      </c>
      <c r="G109" s="30">
        <v>1</v>
      </c>
      <c r="H109" s="31">
        <f>F109 * G109 * 889.36068</f>
        <v>88.936068000000006</v>
      </c>
      <c r="I109" s="31">
        <f>F109 * G109 * 284.119261</f>
        <v>28.411926100000002</v>
      </c>
      <c r="J109" s="31">
        <f t="shared" si="32"/>
        <v>0</v>
      </c>
      <c r="K109" s="31">
        <f>F109 * G109 * 846.671366999999</f>
        <v>84.667136699999901</v>
      </c>
      <c r="L109" s="31">
        <f>F109 * G109 * 212.115887999999</f>
        <v>21.211588799999902</v>
      </c>
      <c r="M109" s="31">
        <f>F109 * G109 * 177.872136</f>
        <v>17.787213600000001</v>
      </c>
      <c r="N109" s="32">
        <f t="shared" si="33"/>
        <v>241.0139331999998</v>
      </c>
      <c r="O109" s="92">
        <f t="shared" si="34"/>
        <v>295.14927780571782</v>
      </c>
      <c r="P109" s="33">
        <f t="shared" si="35"/>
        <v>4.6398364743400278E-3</v>
      </c>
    </row>
    <row r="110" spans="2:16" x14ac:dyDescent="0.25">
      <c r="B110" s="26">
        <v>59</v>
      </c>
      <c r="C110" s="27" t="s">
        <v>260</v>
      </c>
      <c r="D110" s="28" t="s">
        <v>261</v>
      </c>
      <c r="E110" s="28" t="s">
        <v>262</v>
      </c>
      <c r="F110" s="29">
        <v>0.1</v>
      </c>
      <c r="G110" s="30">
        <v>1</v>
      </c>
      <c r="H110" s="31">
        <f>F110 * G110 * 658.78956</f>
        <v>65.878956000000002</v>
      </c>
      <c r="I110" s="31">
        <f>F110 * G110 * 3385.664386</f>
        <v>338.56643860000003</v>
      </c>
      <c r="J110" s="31">
        <f t="shared" si="32"/>
        <v>0</v>
      </c>
      <c r="K110" s="31">
        <f>F110 * G110 * 627.167661</f>
        <v>62.716766100000001</v>
      </c>
      <c r="L110" s="31">
        <f>F110 * G110 * 490.520269</f>
        <v>49.052026900000001</v>
      </c>
      <c r="M110" s="31">
        <f>F110 * G110 * 131.757912</f>
        <v>13.175791200000001</v>
      </c>
      <c r="N110" s="32">
        <f t="shared" si="33"/>
        <v>529.38997880000011</v>
      </c>
      <c r="O110" s="92">
        <f t="shared" si="34"/>
        <v>648.29890888816226</v>
      </c>
      <c r="P110" s="33">
        <f t="shared" si="35"/>
        <v>1.0191456154313059E-2</v>
      </c>
    </row>
    <row r="111" spans="2:16" x14ac:dyDescent="0.25">
      <c r="B111" s="26">
        <v>60</v>
      </c>
      <c r="C111" s="27" t="s">
        <v>263</v>
      </c>
      <c r="D111" s="28" t="s">
        <v>264</v>
      </c>
      <c r="E111" s="28" t="s">
        <v>265</v>
      </c>
      <c r="F111" s="29">
        <v>0.06</v>
      </c>
      <c r="G111" s="30">
        <v>0.5</v>
      </c>
      <c r="H111" s="31">
        <f>F111 * G111 * 3036.6075</f>
        <v>91.098224999999999</v>
      </c>
      <c r="I111" s="31">
        <f>F111 * G111 * 14994.544136</f>
        <v>449.83632408</v>
      </c>
      <c r="J111" s="31">
        <f t="shared" si="32"/>
        <v>0</v>
      </c>
      <c r="K111" s="31">
        <f>F111 * G111 * 2890.85034</f>
        <v>86.725510200000002</v>
      </c>
      <c r="L111" s="31">
        <f>F111 * G111 * 2196.810208</f>
        <v>65.904306239999997</v>
      </c>
      <c r="M111" s="31">
        <f>F111 * G111 * 607.3215</f>
        <v>18.219645</v>
      </c>
      <c r="N111" s="32">
        <f t="shared" si="33"/>
        <v>711.78401052000004</v>
      </c>
      <c r="O111" s="92">
        <f t="shared" si="34"/>
        <v>871.66137604295</v>
      </c>
      <c r="P111" s="33">
        <f t="shared" si="35"/>
        <v>1.3702782117256965E-2</v>
      </c>
    </row>
    <row r="112" spans="2:16" x14ac:dyDescent="0.25">
      <c r="B112" s="26">
        <v>61</v>
      </c>
      <c r="C112" s="27" t="s">
        <v>266</v>
      </c>
      <c r="D112" s="28" t="s">
        <v>267</v>
      </c>
      <c r="E112" s="28" t="s">
        <v>268</v>
      </c>
      <c r="F112" s="29">
        <v>0.06</v>
      </c>
      <c r="G112" s="30">
        <v>0.5</v>
      </c>
      <c r="H112" s="31">
        <f>F112 * G112 * 7846.59378</f>
        <v>235.39781339999999</v>
      </c>
      <c r="I112" s="31">
        <f>F112 * G112 * 6568.45736</f>
        <v>197.05372080000001</v>
      </c>
      <c r="J112" s="31">
        <f t="shared" si="32"/>
        <v>0</v>
      </c>
      <c r="K112" s="31">
        <f>F112 * G112 * 7469.957279</f>
        <v>224.09871837</v>
      </c>
      <c r="L112" s="31">
        <f>F112 * G112 * 2297.92588399999</f>
        <v>68.937776519999701</v>
      </c>
      <c r="M112" s="31">
        <f>F112 * G112 * 1569.318756</f>
        <v>47.079562679999995</v>
      </c>
      <c r="N112" s="32">
        <f t="shared" si="33"/>
        <v>772.56759176999969</v>
      </c>
      <c r="O112" s="92">
        <f t="shared" si="34"/>
        <v>946.09786139541836</v>
      </c>
      <c r="P112" s="33">
        <f t="shared" si="35"/>
        <v>1.4872946321376758E-2</v>
      </c>
    </row>
    <row r="113" spans="2:16" x14ac:dyDescent="0.25">
      <c r="B113" s="26">
        <v>62</v>
      </c>
      <c r="C113" s="27" t="s">
        <v>269</v>
      </c>
      <c r="D113" s="28" t="s">
        <v>270</v>
      </c>
      <c r="E113" s="28" t="s">
        <v>148</v>
      </c>
      <c r="F113" s="29">
        <v>0.01</v>
      </c>
      <c r="G113" s="30">
        <v>1</v>
      </c>
      <c r="H113" s="31">
        <f>F113 * G113 * 20346.39585</f>
        <v>203.46395850000002</v>
      </c>
      <c r="I113" s="31">
        <f>F113 * G113 * 4051.4143</f>
        <v>40.514142999999997</v>
      </c>
      <c r="J113" s="31">
        <f t="shared" si="32"/>
        <v>0</v>
      </c>
      <c r="K113" s="31">
        <f>F113 * G113 * 19369.76885</f>
        <v>193.6976885</v>
      </c>
      <c r="L113" s="31">
        <f>F113 * G113 * 4595.59579499999</f>
        <v>45.955957949999906</v>
      </c>
      <c r="M113" s="31">
        <f>F113 * G113 * 4069.27917</f>
        <v>40.692791700000001</v>
      </c>
      <c r="N113" s="32">
        <f t="shared" si="33"/>
        <v>524.32453964999991</v>
      </c>
      <c r="O113" s="92">
        <f t="shared" si="34"/>
        <v>642.09569612348469</v>
      </c>
      <c r="P113" s="33">
        <f t="shared" si="35"/>
        <v>1.0093939761734966E-2</v>
      </c>
    </row>
    <row r="114" spans="2:16" ht="60" x14ac:dyDescent="0.25">
      <c r="B114" s="26">
        <v>63</v>
      </c>
      <c r="C114" s="27" t="s">
        <v>271</v>
      </c>
      <c r="D114" s="28" t="s">
        <v>272</v>
      </c>
      <c r="E114" s="28" t="s">
        <v>273</v>
      </c>
      <c r="F114" s="29">
        <v>0.02</v>
      </c>
      <c r="G114" s="30">
        <v>1</v>
      </c>
      <c r="H114" s="31">
        <f>F114 * G114 * 9287.97014</f>
        <v>185.7594028</v>
      </c>
      <c r="I114" s="31">
        <f>F114 * G114 * 37850.238465</f>
        <v>757.00476930000002</v>
      </c>
      <c r="J114" s="31">
        <f t="shared" si="32"/>
        <v>0</v>
      </c>
      <c r="K114" s="31">
        <f>F114 * G114 * 8842.147573</f>
        <v>176.84295145999999</v>
      </c>
      <c r="L114" s="31">
        <f>F114 * G114 * 5877.937399</f>
        <v>117.55874798000001</v>
      </c>
      <c r="M114" s="31">
        <f>F114 * G114 * 1857.594028</f>
        <v>37.151880560000002</v>
      </c>
      <c r="N114" s="32">
        <f t="shared" si="33"/>
        <v>1274.3177521</v>
      </c>
      <c r="O114" s="92">
        <f t="shared" si="34"/>
        <v>1560.5486339879417</v>
      </c>
      <c r="P114" s="33">
        <f t="shared" si="35"/>
        <v>2.4532299471608215E-2</v>
      </c>
    </row>
    <row r="115" spans="2:16" s="22" customFormat="1" ht="13.9" customHeight="1" x14ac:dyDescent="0.2">
      <c r="B115" s="23"/>
      <c r="C115" s="24" t="s">
        <v>274</v>
      </c>
      <c r="D115" s="100" t="s">
        <v>275</v>
      </c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</row>
    <row r="116" spans="2:16" s="34" customFormat="1" ht="14.25" x14ac:dyDescent="0.2">
      <c r="B116" s="35"/>
      <c r="C116" s="36" t="s">
        <v>276</v>
      </c>
      <c r="D116" s="96" t="s">
        <v>277</v>
      </c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</row>
    <row r="117" spans="2:16" ht="45" x14ac:dyDescent="0.25">
      <c r="B117" s="26">
        <v>64</v>
      </c>
      <c r="C117" s="27" t="s">
        <v>278</v>
      </c>
      <c r="D117" s="28" t="s">
        <v>279</v>
      </c>
      <c r="E117" s="28" t="s">
        <v>280</v>
      </c>
      <c r="F117" s="29">
        <v>0.01</v>
      </c>
      <c r="G117" s="30">
        <v>1</v>
      </c>
      <c r="H117" s="31">
        <f>F117 * G117 * 41103.83</f>
        <v>411.03830000000005</v>
      </c>
      <c r="I117" s="31">
        <f>F117 * G117 * 20460.176586</f>
        <v>204.60176586000003</v>
      </c>
      <c r="J117" s="31">
        <f>F117 * G117 * 0</f>
        <v>0</v>
      </c>
      <c r="K117" s="31">
        <f>F117 * G117 * 39130.84616</f>
        <v>391.30846160000004</v>
      </c>
      <c r="L117" s="31">
        <f>F117 * G117 * 10572.959539</f>
        <v>105.72959539</v>
      </c>
      <c r="M117" s="31">
        <f>F117 * G117 * 8220.766</f>
        <v>82.207660000000004</v>
      </c>
      <c r="N117" s="32">
        <f>SUM(H117:M117)</f>
        <v>1194.8857828500002</v>
      </c>
      <c r="O117" s="92">
        <f>N117*1.07*1.09*1.05</f>
        <v>1463.2750529648531</v>
      </c>
      <c r="P117" s="33">
        <f>IF($P$9&gt;0,O117/$P$9/12,0)</f>
        <v>2.3003129173188284E-2</v>
      </c>
    </row>
    <row r="118" spans="2:16" s="34" customFormat="1" ht="14.25" x14ac:dyDescent="0.2">
      <c r="B118" s="35"/>
      <c r="C118" s="36" t="s">
        <v>281</v>
      </c>
      <c r="D118" s="96" t="s">
        <v>282</v>
      </c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</row>
    <row r="119" spans="2:16" x14ac:dyDescent="0.25">
      <c r="B119" s="26">
        <v>65</v>
      </c>
      <c r="C119" s="27" t="s">
        <v>283</v>
      </c>
      <c r="D119" s="28" t="s">
        <v>284</v>
      </c>
      <c r="E119" s="28" t="s">
        <v>285</v>
      </c>
      <c r="F119" s="29">
        <v>0.03</v>
      </c>
      <c r="G119" s="30">
        <v>1</v>
      </c>
      <c r="H119" s="31">
        <f>F119 * G119 * 12146.43</f>
        <v>364.3929</v>
      </c>
      <c r="I119" s="31">
        <f>F119 * G119 * 13219.555501</f>
        <v>396.58666503000001</v>
      </c>
      <c r="J119" s="31">
        <f>F119 * G119 * 0</f>
        <v>0</v>
      </c>
      <c r="K119" s="31">
        <f>F119 * G119 * 11563.40136</f>
        <v>346.90204080000001</v>
      </c>
      <c r="L119" s="31">
        <f>F119 * G119 * 3877.58562</f>
        <v>116.32756859999999</v>
      </c>
      <c r="M119" s="31">
        <f>F119 * G119 * 2429.286</f>
        <v>72.878579999999999</v>
      </c>
      <c r="N119" s="32">
        <f>SUM(H119:M119)</f>
        <v>1297.0877544299999</v>
      </c>
      <c r="O119" s="92">
        <f>N119*1.07*1.09*1.05</f>
        <v>1588.4331203912946</v>
      </c>
      <c r="P119" s="33">
        <f>IF($P$9&gt;0,O119/$P$9/12,0)</f>
        <v>2.4970652084375503E-2</v>
      </c>
    </row>
    <row r="120" spans="2:16" s="34" customFormat="1" ht="14.25" x14ac:dyDescent="0.2">
      <c r="B120" s="35"/>
      <c r="C120" s="36" t="s">
        <v>286</v>
      </c>
      <c r="D120" s="96" t="s">
        <v>287</v>
      </c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</row>
    <row r="121" spans="2:16" s="34" customFormat="1" ht="14.25" x14ac:dyDescent="0.2">
      <c r="B121" s="35"/>
      <c r="C121" s="36" t="s">
        <v>288</v>
      </c>
      <c r="D121" s="104" t="s">
        <v>289</v>
      </c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</row>
    <row r="122" spans="2:16" x14ac:dyDescent="0.25">
      <c r="B122" s="26">
        <v>66</v>
      </c>
      <c r="C122" s="27" t="s">
        <v>290</v>
      </c>
      <c r="D122" s="28" t="s">
        <v>291</v>
      </c>
      <c r="E122" s="28" t="s">
        <v>201</v>
      </c>
      <c r="F122" s="29">
        <v>0.03</v>
      </c>
      <c r="G122" s="30">
        <v>1</v>
      </c>
      <c r="H122" s="31">
        <f>F122 * G122 * 10526.906</f>
        <v>315.80718000000002</v>
      </c>
      <c r="I122" s="31">
        <f>F122 * G122 * 13205.572305</f>
        <v>396.16716914999995</v>
      </c>
      <c r="J122" s="31">
        <f>F122 * G122 * 0</f>
        <v>0</v>
      </c>
      <c r="K122" s="31">
        <f>F122 * G122 * 10021.614512</f>
        <v>300.64843536000001</v>
      </c>
      <c r="L122" s="31">
        <f>F122 * G122 * 3544.179746</f>
        <v>106.32539238</v>
      </c>
      <c r="M122" s="31">
        <f>F122 * G122 * 2105.3812</f>
        <v>63.161435999999995</v>
      </c>
      <c r="N122" s="32">
        <f>SUM(H122:M122)</f>
        <v>1182.1096128900001</v>
      </c>
      <c r="O122" s="92">
        <f t="shared" ref="O122:O123" si="36">N122*1.07*1.09*1.05</f>
        <v>1447.6291635892878</v>
      </c>
      <c r="P122" s="33">
        <f t="shared" ref="P122:P123" si="37">IF($P$9&gt;0,O122/$P$9/12,0)</f>
        <v>2.2757171030454756E-2</v>
      </c>
    </row>
    <row r="123" spans="2:16" x14ac:dyDescent="0.25">
      <c r="B123" s="26">
        <v>67</v>
      </c>
      <c r="C123" s="27" t="s">
        <v>292</v>
      </c>
      <c r="D123" s="28" t="s">
        <v>293</v>
      </c>
      <c r="E123" s="28" t="s">
        <v>201</v>
      </c>
      <c r="F123" s="29">
        <v>0.03</v>
      </c>
      <c r="G123" s="30">
        <v>1</v>
      </c>
      <c r="H123" s="31">
        <f>F123 * G123 * 13895.063</f>
        <v>416.85188999999997</v>
      </c>
      <c r="I123" s="31">
        <f>F123 * G123 * 12624.216449</f>
        <v>378.72649346999998</v>
      </c>
      <c r="J123" s="31">
        <f>F123 * G123 * 0</f>
        <v>0</v>
      </c>
      <c r="K123" s="31">
        <f>F123 * G123 * 13228.099976</f>
        <v>396.84299927999996</v>
      </c>
      <c r="L123" s="31">
        <f>F123 * G123 * 4173.47484</f>
        <v>125.20424519999999</v>
      </c>
      <c r="M123" s="31">
        <f>F123 * G123 * 2779.0126</f>
        <v>83.370378000000002</v>
      </c>
      <c r="N123" s="32">
        <f>SUM(H123:M123)</f>
        <v>1400.9960059499999</v>
      </c>
      <c r="O123" s="92">
        <f t="shared" si="36"/>
        <v>1715.6807238264596</v>
      </c>
      <c r="P123" s="33">
        <f t="shared" si="37"/>
        <v>2.6971023137559887E-2</v>
      </c>
    </row>
    <row r="124" spans="2:16" s="34" customFormat="1" ht="14.25" x14ac:dyDescent="0.2">
      <c r="B124" s="35"/>
      <c r="C124" s="36" t="s">
        <v>294</v>
      </c>
      <c r="D124" s="96" t="s">
        <v>295</v>
      </c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</row>
    <row r="125" spans="2:16" ht="45" x14ac:dyDescent="0.25">
      <c r="B125" s="26">
        <v>68</v>
      </c>
      <c r="C125" s="27" t="s">
        <v>296</v>
      </c>
      <c r="D125" s="28" t="s">
        <v>297</v>
      </c>
      <c r="E125" s="28" t="s">
        <v>298</v>
      </c>
      <c r="F125" s="29">
        <v>0.03</v>
      </c>
      <c r="G125" s="30">
        <v>1</v>
      </c>
      <c r="H125" s="31">
        <f>F125 * G125 * 16773.313923</f>
        <v>503.19941769000002</v>
      </c>
      <c r="I125" s="31">
        <f>F125 * G125 * 1930.152429</f>
        <v>57.904572869999996</v>
      </c>
      <c r="J125" s="31">
        <f>F125 * G125 * 0</f>
        <v>0</v>
      </c>
      <c r="K125" s="31">
        <f>F125 * G125 * 15968.1948549999</f>
        <v>479.04584564999698</v>
      </c>
      <c r="L125" s="31">
        <f>F125 * G125 * 3640.524427</f>
        <v>109.21573280999999</v>
      </c>
      <c r="M125" s="31">
        <f>F125 * G125 * 3354.662785</f>
        <v>100.63988354999999</v>
      </c>
      <c r="N125" s="32">
        <f>SUM(H125:M125)</f>
        <v>1250.0054525699968</v>
      </c>
      <c r="O125" s="92">
        <f>N125*1.07*1.09*1.05</f>
        <v>1530.7754272990069</v>
      </c>
      <c r="P125" s="33">
        <f>IF($P$9&gt;0,O125/$P$9/12,0)</f>
        <v>2.4064255601128823E-2</v>
      </c>
    </row>
    <row r="126" spans="2:16" s="34" customFormat="1" ht="14.25" x14ac:dyDescent="0.2">
      <c r="B126" s="35"/>
      <c r="C126" s="36" t="s">
        <v>299</v>
      </c>
      <c r="D126" s="96" t="s">
        <v>300</v>
      </c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</row>
    <row r="127" spans="2:16" x14ac:dyDescent="0.25">
      <c r="B127" s="26">
        <v>69</v>
      </c>
      <c r="C127" s="27" t="s">
        <v>301</v>
      </c>
      <c r="D127" s="28" t="s">
        <v>302</v>
      </c>
      <c r="E127" s="28" t="s">
        <v>303</v>
      </c>
      <c r="F127" s="29">
        <v>0.08</v>
      </c>
      <c r="G127" s="30">
        <v>1</v>
      </c>
      <c r="H127" s="31">
        <f>F127 * G127 * 9248.36175</f>
        <v>739.86894000000007</v>
      </c>
      <c r="I127" s="31">
        <f>F127 * G127 * 1461.792087</f>
        <v>116.94336696000001</v>
      </c>
      <c r="J127" s="31">
        <f>F127 * G127 * 0</f>
        <v>0</v>
      </c>
      <c r="K127" s="31">
        <f>F127 * G127 * 8804.440386</f>
        <v>704.35523088000002</v>
      </c>
      <c r="L127" s="31">
        <f>F127 * G127 * 2049.032393</f>
        <v>163.92259143999999</v>
      </c>
      <c r="M127" s="31">
        <f>F127 * G127 * 1849.67235</f>
        <v>147.97378800000001</v>
      </c>
      <c r="N127" s="32">
        <f>SUM(H127:M127)</f>
        <v>1873.0639172799999</v>
      </c>
      <c r="O127" s="92">
        <f>N127*1.07*1.09*1.05</f>
        <v>2293.7821690598475</v>
      </c>
      <c r="P127" s="33">
        <f>IF($P$9&gt;0,O127/$P$9/12,0)</f>
        <v>3.6058953798966349E-2</v>
      </c>
    </row>
    <row r="128" spans="2:16" s="34" customFormat="1" ht="14.25" x14ac:dyDescent="0.2">
      <c r="B128" s="35"/>
      <c r="C128" s="36" t="s">
        <v>304</v>
      </c>
      <c r="D128" s="96" t="s">
        <v>305</v>
      </c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</row>
    <row r="129" spans="2:16" ht="30" x14ac:dyDescent="0.25">
      <c r="B129" s="26">
        <v>70</v>
      </c>
      <c r="C129" s="27" t="s">
        <v>306</v>
      </c>
      <c r="D129" s="28" t="s">
        <v>307</v>
      </c>
      <c r="E129" s="28" t="s">
        <v>195</v>
      </c>
      <c r="F129" s="29">
        <v>0.1</v>
      </c>
      <c r="G129" s="30">
        <v>1</v>
      </c>
      <c r="H129" s="31">
        <f>F129 * G129 * 7809.7277</f>
        <v>780.97277000000008</v>
      </c>
      <c r="I129" s="31">
        <f>F129 * G129 * 2462.44734</f>
        <v>246.24473400000002</v>
      </c>
      <c r="J129" s="31">
        <f>F129 * G129 * 0</f>
        <v>0</v>
      </c>
      <c r="K129" s="31">
        <f>F129 * G129 * 7434.86077</f>
        <v>743.48607700000002</v>
      </c>
      <c r="L129" s="31">
        <f>F129 * G129 * 1859.23876</f>
        <v>185.92387600000001</v>
      </c>
      <c r="M129" s="31">
        <f>F129 * G129 * 1561.94554</f>
        <v>156.19455400000001</v>
      </c>
      <c r="N129" s="32">
        <f>SUM(H129:M129)</f>
        <v>2112.8220110000002</v>
      </c>
      <c r="O129" s="92">
        <f t="shared" ref="O129:O131" si="38">N129*1.07*1.09*1.05</f>
        <v>2587.3935270007655</v>
      </c>
      <c r="P129" s="33">
        <f t="shared" ref="P129:P131" si="39">IF($P$9&gt;0,O129/$P$9/12,0)</f>
        <v>4.0674613704973363E-2</v>
      </c>
    </row>
    <row r="130" spans="2:16" ht="30" x14ac:dyDescent="0.25">
      <c r="B130" s="26">
        <v>71</v>
      </c>
      <c r="C130" s="27" t="s">
        <v>308</v>
      </c>
      <c r="D130" s="28" t="s">
        <v>309</v>
      </c>
      <c r="E130" s="28" t="s">
        <v>310</v>
      </c>
      <c r="F130" s="29">
        <v>0.01</v>
      </c>
      <c r="G130" s="30">
        <v>1</v>
      </c>
      <c r="H130" s="31">
        <f>F130 * G130 * 2548.43746</f>
        <v>25.484374600000002</v>
      </c>
      <c r="I130" s="31">
        <f>F130 * G130 * 566.597779</f>
        <v>5.6659777899999995</v>
      </c>
      <c r="J130" s="31">
        <f>F130 * G130 * 0</f>
        <v>0</v>
      </c>
      <c r="K130" s="31">
        <f>F130 * G130 * 2426.112462</f>
        <v>24.26112462</v>
      </c>
      <c r="L130" s="31">
        <f>F130 * G130 * 581.820509</f>
        <v>5.8182050900000002</v>
      </c>
      <c r="M130" s="31">
        <f>F130 * G130 * 509.687492</f>
        <v>5.0968749200000003</v>
      </c>
      <c r="N130" s="32">
        <f>SUM(H130:M130)</f>
        <v>66.326557019999996</v>
      </c>
      <c r="O130" s="92">
        <f t="shared" si="38"/>
        <v>81.224496625047308</v>
      </c>
      <c r="P130" s="33">
        <f t="shared" si="39"/>
        <v>1.2768738072226516E-3</v>
      </c>
    </row>
    <row r="131" spans="2:16" ht="30" x14ac:dyDescent="0.25">
      <c r="B131" s="26">
        <v>72</v>
      </c>
      <c r="C131" s="27" t="s">
        <v>311</v>
      </c>
      <c r="D131" s="28" t="s">
        <v>312</v>
      </c>
      <c r="E131" s="28" t="s">
        <v>313</v>
      </c>
      <c r="F131" s="29">
        <v>0.01</v>
      </c>
      <c r="G131" s="30">
        <v>1</v>
      </c>
      <c r="H131" s="31">
        <f>F131 * G131 * 29645.356</f>
        <v>296.45355999999998</v>
      </c>
      <c r="I131" s="31">
        <f>F131 * G131 * 356587.319217</f>
        <v>3565.87319217</v>
      </c>
      <c r="J131" s="31">
        <f>F131 * G131 * 0</f>
        <v>0</v>
      </c>
      <c r="K131" s="31">
        <f>F131 * G131 * 28222.378912</f>
        <v>282.22378911999999</v>
      </c>
      <c r="L131" s="31">
        <f>F131 * G131 * 43517.780684</f>
        <v>435.17780683999996</v>
      </c>
      <c r="M131" s="31">
        <f>F131 * G131 * 5929.0712</f>
        <v>59.290712000000006</v>
      </c>
      <c r="N131" s="32">
        <f>SUM(H131:M131)</f>
        <v>4639.0190601300001</v>
      </c>
      <c r="O131" s="92">
        <f t="shared" si="38"/>
        <v>5681.0123263211017</v>
      </c>
      <c r="P131" s="33">
        <f t="shared" si="39"/>
        <v>8.9307242757987515E-2</v>
      </c>
    </row>
    <row r="132" spans="2:16" s="22" customFormat="1" ht="13.9" customHeight="1" x14ac:dyDescent="0.2">
      <c r="B132" s="23"/>
      <c r="C132" s="24" t="s">
        <v>314</v>
      </c>
      <c r="D132" s="100" t="s">
        <v>315</v>
      </c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</row>
    <row r="133" spans="2:16" s="34" customFormat="1" ht="14.25" x14ac:dyDescent="0.2">
      <c r="B133" s="35"/>
      <c r="C133" s="36" t="s">
        <v>316</v>
      </c>
      <c r="D133" s="96" t="s">
        <v>317</v>
      </c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</row>
    <row r="134" spans="2:16" x14ac:dyDescent="0.25">
      <c r="B134" s="26">
        <v>73</v>
      </c>
      <c r="C134" s="27" t="s">
        <v>318</v>
      </c>
      <c r="D134" s="28" t="s">
        <v>319</v>
      </c>
      <c r="E134" s="28" t="s">
        <v>320</v>
      </c>
      <c r="F134" s="29">
        <v>0.06</v>
      </c>
      <c r="G134" s="30">
        <v>2</v>
      </c>
      <c r="H134" s="31">
        <f>F134 * G134 * 4432.5324</f>
        <v>531.90388799999994</v>
      </c>
      <c r="I134" s="31">
        <f>F134 * G134 * 17083.895458</f>
        <v>2050.0674549599998</v>
      </c>
      <c r="J134" s="31">
        <f>F134 * G134 * 0</f>
        <v>0</v>
      </c>
      <c r="K134" s="31">
        <f>F134 * G134 * 4219.770845</f>
        <v>506.37250139999998</v>
      </c>
      <c r="L134" s="31">
        <f>F134 * G134 * 2702.300864</f>
        <v>324.27610367999995</v>
      </c>
      <c r="M134" s="31">
        <f>F134 * G134 * 886.50648</f>
        <v>106.3807776</v>
      </c>
      <c r="N134" s="32">
        <f>SUM(H134:M134)</f>
        <v>3519.0007256399995</v>
      </c>
      <c r="O134" s="92">
        <f>N134*1.07*1.09*1.05</f>
        <v>4309.4210736296291</v>
      </c>
      <c r="P134" s="33">
        <f>IF($P$9&gt;0,O134/$P$9/12,0)</f>
        <v>6.7745410828611408E-2</v>
      </c>
    </row>
    <row r="135" spans="2:16" s="34" customFormat="1" ht="14.25" x14ac:dyDescent="0.2">
      <c r="B135" s="35"/>
      <c r="C135" s="36" t="s">
        <v>321</v>
      </c>
      <c r="D135" s="96" t="s">
        <v>322</v>
      </c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</row>
    <row r="136" spans="2:16" ht="45" x14ac:dyDescent="0.25">
      <c r="B136" s="26">
        <v>74</v>
      </c>
      <c r="C136" s="27" t="s">
        <v>323</v>
      </c>
      <c r="D136" s="28" t="s">
        <v>324</v>
      </c>
      <c r="E136" s="28" t="s">
        <v>325</v>
      </c>
      <c r="F136" s="29">
        <v>1</v>
      </c>
      <c r="G136" s="30">
        <v>2</v>
      </c>
      <c r="H136" s="31">
        <f>F136 * G136 * 308.278725</f>
        <v>616.55745000000002</v>
      </c>
      <c r="I136" s="31">
        <f>F136 * G136 * 81.910391</f>
        <v>163.82078200000001</v>
      </c>
      <c r="J136" s="31">
        <f>F136 * G136 * 0</f>
        <v>0</v>
      </c>
      <c r="K136" s="31">
        <f>F136 * G136 * 293.481346</f>
        <v>586.96269199999995</v>
      </c>
      <c r="L136" s="31">
        <f>F136 * G136 * 71.785398</f>
        <v>143.570796</v>
      </c>
      <c r="M136" s="31">
        <f>F136 * G136 * 61.655745</f>
        <v>123.31149000000001</v>
      </c>
      <c r="N136" s="32">
        <f>SUM(H136:M136)</f>
        <v>1634.2232100000001</v>
      </c>
      <c r="O136" s="92">
        <f t="shared" ref="O136:O146" si="40">N136*1.07*1.09*1.05</f>
        <v>2001.2942563141505</v>
      </c>
      <c r="P136" s="33">
        <f t="shared" ref="P136:P138" si="41">IF($P$9&gt;0,O136/$P$9/12,0)</f>
        <v>3.1460954793343245E-2</v>
      </c>
    </row>
    <row r="137" spans="2:16" ht="45" x14ac:dyDescent="0.25">
      <c r="B137" s="26">
        <v>75</v>
      </c>
      <c r="C137" s="27" t="s">
        <v>326</v>
      </c>
      <c r="D137" s="28" t="s">
        <v>327</v>
      </c>
      <c r="E137" s="28" t="s">
        <v>325</v>
      </c>
      <c r="F137" s="29">
        <v>1</v>
      </c>
      <c r="G137" s="30">
        <v>2</v>
      </c>
      <c r="H137" s="31">
        <f>F137 * G137 * 55.888452</f>
        <v>111.776904</v>
      </c>
      <c r="I137" s="31">
        <f>F137 * G137 * 1.912696</f>
        <v>3.8253919999999999</v>
      </c>
      <c r="J137" s="31">
        <f>F137 * G137 * 0</f>
        <v>0</v>
      </c>
      <c r="K137" s="31">
        <f>F137 * G137 * 53.205807</f>
        <v>106.411614</v>
      </c>
      <c r="L137" s="31">
        <f>F137 * G137 * 11.65573</f>
        <v>23.31146</v>
      </c>
      <c r="M137" s="31">
        <f>F137 * G137 * 11.17769</f>
        <v>22.35538</v>
      </c>
      <c r="N137" s="32">
        <f>SUM(H137:M137)</f>
        <v>267.68075000000005</v>
      </c>
      <c r="O137" s="92">
        <f t="shared" si="40"/>
        <v>327.80586166125011</v>
      </c>
      <c r="P137" s="33">
        <f t="shared" si="41"/>
        <v>5.1532079114200166E-3</v>
      </c>
    </row>
    <row r="138" spans="2:16" ht="45" x14ac:dyDescent="0.25">
      <c r="B138" s="26">
        <v>76</v>
      </c>
      <c r="C138" s="27" t="s">
        <v>328</v>
      </c>
      <c r="D138" s="28" t="s">
        <v>329</v>
      </c>
      <c r="E138" s="28" t="s">
        <v>330</v>
      </c>
      <c r="F138" s="29">
        <v>0.03</v>
      </c>
      <c r="G138" s="30">
        <v>2</v>
      </c>
      <c r="H138" s="31">
        <f>F138 * G138 * 7105.66155</f>
        <v>426.33969299999995</v>
      </c>
      <c r="I138" s="31">
        <f>F138 * G138 * 4996.466322</f>
        <v>299.78797931999998</v>
      </c>
      <c r="J138" s="31">
        <f>F138 * G138 * 0</f>
        <v>0</v>
      </c>
      <c r="K138" s="31">
        <f>F138 * G138 * 6764.589795</f>
        <v>405.87538769999998</v>
      </c>
      <c r="L138" s="31">
        <f>F138 * G138 * 1981.005355</f>
        <v>118.8603213</v>
      </c>
      <c r="M138" s="31">
        <f>F138 * G138 * 1421.13231</f>
        <v>85.267938599999994</v>
      </c>
      <c r="N138" s="32">
        <f>SUM(H138:M138)</f>
        <v>1336.1313199199997</v>
      </c>
      <c r="O138" s="92">
        <f t="shared" si="40"/>
        <v>1636.2464563438307</v>
      </c>
      <c r="P138" s="33">
        <f t="shared" si="41"/>
        <v>2.5722292277303507E-2</v>
      </c>
    </row>
    <row r="139" spans="2:16" s="34" customFormat="1" ht="14.25" x14ac:dyDescent="0.2">
      <c r="B139" s="35"/>
      <c r="C139" s="36" t="s">
        <v>331</v>
      </c>
      <c r="D139" s="96" t="s">
        <v>332</v>
      </c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</row>
    <row r="140" spans="2:16" ht="30" x14ac:dyDescent="0.25">
      <c r="B140" s="26">
        <v>77</v>
      </c>
      <c r="C140" s="27" t="s">
        <v>333</v>
      </c>
      <c r="D140" s="28" t="s">
        <v>334</v>
      </c>
      <c r="E140" s="28" t="s">
        <v>335</v>
      </c>
      <c r="F140" s="29">
        <v>5.3010000000000002</v>
      </c>
      <c r="G140" s="30">
        <v>2</v>
      </c>
      <c r="H140" s="31">
        <f>F140 * G140 * 78.951795</f>
        <v>837.0469305900001</v>
      </c>
      <c r="I140" s="31">
        <f>F140 * G140 * 0</f>
        <v>0</v>
      </c>
      <c r="J140" s="31">
        <f>F140 * G140 * 0</f>
        <v>0</v>
      </c>
      <c r="K140" s="31">
        <f>F140 * G140 * 75.162109</f>
        <v>796.86867961799999</v>
      </c>
      <c r="L140" s="31">
        <f>F140 * G140 * 16.18196</f>
        <v>171.56113992000002</v>
      </c>
      <c r="M140" s="31">
        <f>F140 * G140 * 15.790359</f>
        <v>167.40938611800001</v>
      </c>
      <c r="N140" s="32">
        <f>SUM(H140:M140)</f>
        <v>1972.886136246</v>
      </c>
      <c r="O140" s="92">
        <f t="shared" si="40"/>
        <v>2416.0259557388958</v>
      </c>
      <c r="P140" s="33">
        <f t="shared" ref="P140:P144" si="42">IF($P$9&gt;0,O140/$P$9/12,0)</f>
        <v>3.7980663329857507E-2</v>
      </c>
    </row>
    <row r="141" spans="2:16" ht="30" x14ac:dyDescent="0.25">
      <c r="B141" s="26">
        <v>78</v>
      </c>
      <c r="C141" s="27" t="s">
        <v>336</v>
      </c>
      <c r="D141" s="28" t="s">
        <v>337</v>
      </c>
      <c r="E141" s="28" t="s">
        <v>335</v>
      </c>
      <c r="F141" s="29">
        <v>5.3010000000000002</v>
      </c>
      <c r="G141" s="30">
        <v>2</v>
      </c>
      <c r="H141" s="31">
        <f>F141 * G141 * 629.589955</f>
        <v>6674.9127029100009</v>
      </c>
      <c r="I141" s="31">
        <f>F141 * G141 * 0</f>
        <v>0</v>
      </c>
      <c r="J141" s="31">
        <f>F141 * G141 * 0</f>
        <v>0</v>
      </c>
      <c r="K141" s="31">
        <f>F141 * G141 * 599.369637</f>
        <v>6354.5168914740007</v>
      </c>
      <c r="L141" s="31">
        <f>F141 * G141 * 129.040757</f>
        <v>1368.0901057140002</v>
      </c>
      <c r="M141" s="31">
        <f>F141 * G141 * 125.917991</f>
        <v>1334.982540582</v>
      </c>
      <c r="N141" s="32">
        <f>SUM(H141:M141)</f>
        <v>15732.50224068</v>
      </c>
      <c r="O141" s="92">
        <f t="shared" si="40"/>
        <v>19266.258231470343</v>
      </c>
      <c r="P141" s="33">
        <f t="shared" si="42"/>
        <v>0.30287144298985008</v>
      </c>
    </row>
    <row r="142" spans="2:16" x14ac:dyDescent="0.25">
      <c r="B142" s="26">
        <v>79</v>
      </c>
      <c r="C142" s="27" t="s">
        <v>338</v>
      </c>
      <c r="D142" s="28" t="s">
        <v>339</v>
      </c>
      <c r="E142" s="28" t="s">
        <v>340</v>
      </c>
      <c r="F142" s="29">
        <v>0.53939999999999999</v>
      </c>
      <c r="G142" s="30">
        <v>2</v>
      </c>
      <c r="H142" s="31">
        <f>F142 * G142 * 312.416444</f>
        <v>337.03485978719999</v>
      </c>
      <c r="I142" s="31">
        <f>F142 * G142 * 0</f>
        <v>0</v>
      </c>
      <c r="J142" s="31">
        <f>F142 * G142 * 0</f>
        <v>0</v>
      </c>
      <c r="K142" s="31">
        <f>F142 * G142 * 297.420455</f>
        <v>320.85718685400002</v>
      </c>
      <c r="L142" s="31">
        <f>F142 * G142 * 64.032874</f>
        <v>69.0786644712</v>
      </c>
      <c r="M142" s="31">
        <f>F142 * G142 * 62.483289</f>
        <v>67.406972173200003</v>
      </c>
      <c r="N142" s="32">
        <f>SUM(H142:M142)</f>
        <v>794.37768328560003</v>
      </c>
      <c r="O142" s="92">
        <f t="shared" si="40"/>
        <v>972.80682661679521</v>
      </c>
      <c r="P142" s="33">
        <f t="shared" si="42"/>
        <v>1.5292819383399284E-2</v>
      </c>
    </row>
    <row r="143" spans="2:16" ht="30" x14ac:dyDescent="0.25">
      <c r="B143" s="26">
        <v>80</v>
      </c>
      <c r="C143" s="27" t="s">
        <v>341</v>
      </c>
      <c r="D143" s="28" t="s">
        <v>342</v>
      </c>
      <c r="E143" s="28" t="s">
        <v>335</v>
      </c>
      <c r="F143" s="29">
        <v>5.3010000000000002</v>
      </c>
      <c r="G143" s="30">
        <v>2</v>
      </c>
      <c r="H143" s="31">
        <f>F143 * G143 * 912.1648</f>
        <v>9670.7712095999996</v>
      </c>
      <c r="I143" s="31">
        <f>F143 * G143 * 0</f>
        <v>0</v>
      </c>
      <c r="J143" s="31">
        <f>F143 * G143 * 0</f>
        <v>0</v>
      </c>
      <c r="K143" s="31">
        <f>F143 * G143 * 868.380889999999</f>
        <v>9206.5741957799892</v>
      </c>
      <c r="L143" s="31">
        <f>F143 * G143 * 186.957296999999</f>
        <v>1982.1212627939892</v>
      </c>
      <c r="M143" s="31">
        <f>F143 * G143 * 182.43296</f>
        <v>1934.1542419200002</v>
      </c>
      <c r="N143" s="32">
        <f>SUM(H143:M143)</f>
        <v>22793.620910093978</v>
      </c>
      <c r="O143" s="92">
        <f t="shared" si="40"/>
        <v>27913.410070814742</v>
      </c>
      <c r="P143" s="33">
        <f t="shared" si="42"/>
        <v>0.43880730162256715</v>
      </c>
    </row>
    <row r="144" spans="2:16" ht="30" x14ac:dyDescent="0.25">
      <c r="B144" s="26">
        <v>81</v>
      </c>
      <c r="C144" s="27" t="s">
        <v>343</v>
      </c>
      <c r="D144" s="28" t="s">
        <v>344</v>
      </c>
      <c r="E144" s="28" t="s">
        <v>335</v>
      </c>
      <c r="F144" s="29">
        <v>5.3010000000000002</v>
      </c>
      <c r="G144" s="30">
        <v>2</v>
      </c>
      <c r="H144" s="31">
        <f>F144 * G144 * 684.1236</f>
        <v>7253.0784072000006</v>
      </c>
      <c r="I144" s="31">
        <f>F144 * G144 * 0</f>
        <v>0</v>
      </c>
      <c r="J144" s="31">
        <f>F144 * G144 * 0</f>
        <v>0</v>
      </c>
      <c r="K144" s="31">
        <f>F144 * G144 * 651.285667</f>
        <v>6904.9306415339997</v>
      </c>
      <c r="L144" s="31">
        <f>F144 * G144 * 140.217973</f>
        <v>1486.590949746</v>
      </c>
      <c r="M144" s="31">
        <f>F144 * G144 * 136.82472</f>
        <v>1450.6156814400001</v>
      </c>
      <c r="N144" s="32">
        <f>SUM(H144:M144)</f>
        <v>17095.215679920002</v>
      </c>
      <c r="O144" s="92">
        <f t="shared" si="40"/>
        <v>20935.057549865236</v>
      </c>
      <c r="P144" s="33">
        <f t="shared" si="42"/>
        <v>0.32910547616590008</v>
      </c>
    </row>
    <row r="145" spans="2:16" s="34" customFormat="1" ht="14.25" x14ac:dyDescent="0.2">
      <c r="B145" s="35"/>
      <c r="C145" s="36" t="s">
        <v>345</v>
      </c>
      <c r="D145" s="96" t="s">
        <v>346</v>
      </c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</row>
    <row r="146" spans="2:16" x14ac:dyDescent="0.25">
      <c r="B146" s="26">
        <v>82</v>
      </c>
      <c r="C146" s="27" t="s">
        <v>347</v>
      </c>
      <c r="D146" s="28" t="s">
        <v>348</v>
      </c>
      <c r="E146" s="28" t="s">
        <v>349</v>
      </c>
      <c r="F146" s="29">
        <v>0.53900000000000003</v>
      </c>
      <c r="G146" s="30">
        <v>2</v>
      </c>
      <c r="H146" s="31">
        <f>F146 * G146 * 684.1236</f>
        <v>737.48524080000004</v>
      </c>
      <c r="I146" s="31">
        <f>F146 * G146 * 0</f>
        <v>0</v>
      </c>
      <c r="J146" s="31">
        <f>F146 * G146 * 0</f>
        <v>0</v>
      </c>
      <c r="K146" s="31">
        <f>F146 * G146 * 651.285667</f>
        <v>702.08594902599998</v>
      </c>
      <c r="L146" s="31">
        <f>F146 * G146 * 140.217973</f>
        <v>151.15497489400002</v>
      </c>
      <c r="M146" s="31">
        <f>F146 * G146 * 136.82472</f>
        <v>147.49704816000002</v>
      </c>
      <c r="N146" s="32">
        <f>SUM(H146:M146)</f>
        <v>1738.2232128800003</v>
      </c>
      <c r="O146" s="92">
        <f t="shared" si="40"/>
        <v>2128.6542198410416</v>
      </c>
      <c r="P146" s="33">
        <f>IF($P$9&gt;0,O146/$P$9/12,0)</f>
        <v>3.3463092181365804E-2</v>
      </c>
    </row>
    <row r="147" spans="2:16" s="22" customFormat="1" ht="13.9" customHeight="1" x14ac:dyDescent="0.2">
      <c r="B147" s="23"/>
      <c r="C147" s="24" t="s">
        <v>350</v>
      </c>
      <c r="D147" s="100" t="s">
        <v>351</v>
      </c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</row>
    <row r="148" spans="2:16" s="34" customFormat="1" ht="14.25" x14ac:dyDescent="0.2">
      <c r="B148" s="35"/>
      <c r="C148" s="36" t="s">
        <v>352</v>
      </c>
      <c r="D148" s="96" t="s">
        <v>353</v>
      </c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</row>
    <row r="149" spans="2:16" x14ac:dyDescent="0.25">
      <c r="B149" s="26">
        <v>83</v>
      </c>
      <c r="C149" s="27" t="s">
        <v>354</v>
      </c>
      <c r="D149" s="28" t="s">
        <v>355</v>
      </c>
      <c r="E149" s="28" t="s">
        <v>356</v>
      </c>
      <c r="F149" s="29">
        <v>0.02</v>
      </c>
      <c r="G149" s="30">
        <v>1</v>
      </c>
      <c r="H149" s="31">
        <f>F149 * G149 * 29412.732</f>
        <v>588.25463999999999</v>
      </c>
      <c r="I149" s="31">
        <f>F149 * G149 * 0</f>
        <v>0</v>
      </c>
      <c r="J149" s="31">
        <f>F149 * G149 * 158776.296</f>
        <v>3175.52592</v>
      </c>
      <c r="K149" s="31">
        <f>F149 * G149 * 84666.103435</f>
        <v>1693.3220687</v>
      </c>
      <c r="L149" s="31">
        <f>F149 * G149 * 28649.788801</f>
        <v>572.99577601999999</v>
      </c>
      <c r="M149" s="31">
        <f>F149 * G149 * 17786.99652</f>
        <v>355.73993039999999</v>
      </c>
      <c r="N149" s="32">
        <f>SUM(H149:M149)</f>
        <v>6385.83833512</v>
      </c>
      <c r="O149" s="92">
        <f t="shared" ref="O149:O152" si="43">N149*1.07*1.09*1.05</f>
        <v>7820.1934127629811</v>
      </c>
      <c r="P149" s="33">
        <f t="shared" ref="P149:P152" si="44">IF($P$9&gt;0,O149/$P$9/12,0)</f>
        <v>0.12293582048611867</v>
      </c>
    </row>
    <row r="150" spans="2:16" x14ac:dyDescent="0.25">
      <c r="B150" s="26">
        <v>84</v>
      </c>
      <c r="C150" s="27" t="s">
        <v>357</v>
      </c>
      <c r="D150" s="28" t="s">
        <v>358</v>
      </c>
      <c r="E150" s="28" t="s">
        <v>356</v>
      </c>
      <c r="F150" s="29">
        <v>0.05</v>
      </c>
      <c r="G150" s="30">
        <v>1</v>
      </c>
      <c r="H150" s="31">
        <f>F150 * G150 * 15245.020875</f>
        <v>762.25104375000001</v>
      </c>
      <c r="I150" s="31">
        <f>F150 * G150 * 0</f>
        <v>0</v>
      </c>
      <c r="J150" s="31">
        <f>F150 * G150 * 0</f>
        <v>0</v>
      </c>
      <c r="K150" s="31">
        <f>F150 * G150 * 14513.259873</f>
        <v>725.66299365000009</v>
      </c>
      <c r="L150" s="31">
        <f>F150 * G150 * 3124.619479</f>
        <v>156.23097395000002</v>
      </c>
      <c r="M150" s="31">
        <f>F150 * G150 * 3049.004175</f>
        <v>152.45020875</v>
      </c>
      <c r="N150" s="32">
        <f>SUM(H150:M150)</f>
        <v>1796.5952201</v>
      </c>
      <c r="O150" s="92">
        <f t="shared" si="43"/>
        <v>2200.1374554627614</v>
      </c>
      <c r="P150" s="33">
        <f t="shared" si="44"/>
        <v>3.4586830400911171E-2</v>
      </c>
    </row>
    <row r="151" spans="2:16" x14ac:dyDescent="0.25">
      <c r="B151" s="26">
        <v>85</v>
      </c>
      <c r="C151" s="27" t="s">
        <v>359</v>
      </c>
      <c r="D151" s="28" t="s">
        <v>360</v>
      </c>
      <c r="E151" s="28" t="s">
        <v>361</v>
      </c>
      <c r="F151" s="29">
        <v>2E-3</v>
      </c>
      <c r="G151" s="30">
        <v>1</v>
      </c>
      <c r="H151" s="31">
        <f>F151 * G151 * 35393.085</f>
        <v>70.786169999999998</v>
      </c>
      <c r="I151" s="31">
        <f>F151 * G151 * 0</f>
        <v>0</v>
      </c>
      <c r="J151" s="31">
        <f>F151 * G151 * 0</f>
        <v>0</v>
      </c>
      <c r="K151" s="31">
        <f>F151 * G151 * 33694.21692</f>
        <v>67.388433840000005</v>
      </c>
      <c r="L151" s="31">
        <f>F151 * G151 * 7254.166702</f>
        <v>14.508333404000002</v>
      </c>
      <c r="M151" s="31">
        <f>F151 * G151 * 7078.617</f>
        <v>14.157234000000001</v>
      </c>
      <c r="N151" s="32">
        <f>SUM(H151:M151)</f>
        <v>166.840171244</v>
      </c>
      <c r="O151" s="92">
        <f t="shared" si="43"/>
        <v>204.31497630797114</v>
      </c>
      <c r="P151" s="33">
        <f t="shared" si="44"/>
        <v>3.2118936098215925E-3</v>
      </c>
    </row>
    <row r="152" spans="2:16" x14ac:dyDescent="0.25">
      <c r="B152" s="26">
        <v>86</v>
      </c>
      <c r="C152" s="27" t="s">
        <v>362</v>
      </c>
      <c r="D152" s="28" t="s">
        <v>363</v>
      </c>
      <c r="E152" s="28" t="s">
        <v>356</v>
      </c>
      <c r="F152" s="29">
        <v>0.02</v>
      </c>
      <c r="G152" s="30">
        <v>1</v>
      </c>
      <c r="H152" s="31">
        <f>F152 * G152 * 14951.4721</f>
        <v>299.02944200000002</v>
      </c>
      <c r="I152" s="31">
        <f>F152 * G152 * 0</f>
        <v>0</v>
      </c>
      <c r="J152" s="31">
        <f>F152 * G152 * 0</f>
        <v>0</v>
      </c>
      <c r="K152" s="31">
        <f>F152 * G152 * 14233.8014389999</f>
        <v>284.67602877999803</v>
      </c>
      <c r="L152" s="31">
        <f>F152 * G152 * 3064.45372199999</f>
        <v>61.289074439999808</v>
      </c>
      <c r="M152" s="31">
        <f>F152 * G152 * 2990.29442</f>
        <v>59.805888400000008</v>
      </c>
      <c r="N152" s="32">
        <f>SUM(H152:M152)</f>
        <v>704.80043361999776</v>
      </c>
      <c r="O152" s="92">
        <f t="shared" si="43"/>
        <v>863.10918301755373</v>
      </c>
      <c r="P152" s="33">
        <f t="shared" si="44"/>
        <v>1.3568339040079759E-2</v>
      </c>
    </row>
    <row r="153" spans="2:16" s="34" customFormat="1" ht="14.25" x14ac:dyDescent="0.2">
      <c r="B153" s="35"/>
      <c r="C153" s="36" t="s">
        <v>364</v>
      </c>
      <c r="D153" s="96" t="s">
        <v>365</v>
      </c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</row>
    <row r="154" spans="2:16" ht="30" x14ac:dyDescent="0.25">
      <c r="B154" s="26">
        <v>87</v>
      </c>
      <c r="C154" s="27" t="s">
        <v>366</v>
      </c>
      <c r="D154" s="28" t="s">
        <v>367</v>
      </c>
      <c r="E154" s="28" t="s">
        <v>368</v>
      </c>
      <c r="F154" s="29">
        <v>0.8085</v>
      </c>
      <c r="G154" s="30">
        <v>2</v>
      </c>
      <c r="H154" s="31">
        <f>F154 * G154 * 664.69494</f>
        <v>1074.8117179799999</v>
      </c>
      <c r="I154" s="31">
        <f>F154 * G154 * 0</f>
        <v>0</v>
      </c>
      <c r="J154" s="31">
        <f>F154 * G154 * 0</f>
        <v>0</v>
      </c>
      <c r="K154" s="31">
        <f>F154 * G154 * 632.789583</f>
        <v>1023.220755711</v>
      </c>
      <c r="L154" s="31">
        <f>F154 * G154 * 136.235875</f>
        <v>220.29340987499998</v>
      </c>
      <c r="M154" s="31">
        <f>F154 * G154 * 132.938988</f>
        <v>214.96234359599998</v>
      </c>
      <c r="N154" s="32">
        <f>SUM(H154:M154)</f>
        <v>2533.2882271620001</v>
      </c>
      <c r="O154" s="92">
        <f t="shared" ref="O154" si="45">N154*1.07*1.09*1.05</f>
        <v>3102.3027623059934</v>
      </c>
      <c r="P154" s="33">
        <f>IF($P$9&gt;0,O154/$P$9/12,0)</f>
        <v>4.8769143594070197E-2</v>
      </c>
    </row>
    <row r="155" spans="2:16" s="22" customFormat="1" ht="13.9" customHeight="1" x14ac:dyDescent="0.2">
      <c r="B155" s="23"/>
      <c r="C155" s="24"/>
      <c r="D155" s="100" t="s">
        <v>369</v>
      </c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</row>
    <row r="156" spans="2:16" x14ac:dyDescent="0.25">
      <c r="B156" s="26">
        <v>88</v>
      </c>
      <c r="C156" s="27"/>
      <c r="D156" s="28" t="s">
        <v>370</v>
      </c>
      <c r="E156" s="28"/>
      <c r="F156" s="29">
        <f>(2.97+2.74+13.6+12.6+20.48+10.47)+(10.47+12.6+20.48+13.6+4.8)*14</f>
        <v>930.16</v>
      </c>
      <c r="G156" s="30">
        <v>0.2</v>
      </c>
      <c r="H156" s="31">
        <f>4500*F156*G156</f>
        <v>837144</v>
      </c>
      <c r="I156" s="31"/>
      <c r="J156" s="31"/>
      <c r="K156" s="31"/>
      <c r="L156" s="31"/>
      <c r="M156" s="31"/>
      <c r="N156" s="32">
        <f>SUM(H156:M156)</f>
        <v>837144</v>
      </c>
      <c r="O156" s="92">
        <f t="shared" ref="O156" si="46">N156*1.07*1.09*1.05</f>
        <v>1025179.0995600002</v>
      </c>
      <c r="P156" s="33">
        <f>IF($P$9&gt;0,O156/$P$9/12,0)</f>
        <v>16.1161274533107</v>
      </c>
    </row>
    <row r="157" spans="2:16" s="37" customFormat="1" ht="13.9" customHeight="1" x14ac:dyDescent="0.25">
      <c r="B157" s="97" t="s">
        <v>371</v>
      </c>
      <c r="C157" s="97"/>
      <c r="D157" s="97"/>
      <c r="E157" s="97"/>
      <c r="F157" s="97"/>
      <c r="G157" s="97"/>
      <c r="H157" s="39">
        <f>SUM(H10:H156)</f>
        <v>895700.9279576292</v>
      </c>
      <c r="I157" s="40">
        <f>SUM(I16:I156)</f>
        <v>39497.142177178001</v>
      </c>
      <c r="J157" s="40">
        <f>SUM(J16:J156)</f>
        <v>4484.5782576000001</v>
      </c>
      <c r="K157" s="40">
        <f>SUM(K16:K156)</f>
        <v>52954.526216404993</v>
      </c>
      <c r="L157" s="40">
        <f>SUM(L16:L156)</f>
        <v>15893.101159380183</v>
      </c>
      <c r="M157" s="40">
        <f>SUM(M16:M156)</f>
        <v>11124.9004634212</v>
      </c>
      <c r="N157" s="40">
        <f>SUM(N16:N156)</f>
        <v>1015524.8699005635</v>
      </c>
      <c r="O157" s="40">
        <f>SUM(O16:O156)</f>
        <v>1243626.9885532788</v>
      </c>
      <c r="P157" s="40">
        <f>SUM(P16:P156)</f>
        <v>19.550194751827942</v>
      </c>
    </row>
    <row r="158" spans="2:16" x14ac:dyDescent="0.25">
      <c r="B158" s="98" t="s">
        <v>372</v>
      </c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102"/>
      <c r="N158" s="102"/>
      <c r="O158" s="41"/>
      <c r="P158" s="42"/>
    </row>
    <row r="159" spans="2:16" x14ac:dyDescent="0.25">
      <c r="B159" s="98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103"/>
      <c r="N159" s="103"/>
      <c r="O159" s="43"/>
      <c r="P159" s="44"/>
    </row>
    <row r="160" spans="2:16" ht="13.9" customHeight="1" x14ac:dyDescent="0.25">
      <c r="B160" s="23"/>
      <c r="C160" s="24" t="s">
        <v>20</v>
      </c>
      <c r="D160" s="100" t="s">
        <v>21</v>
      </c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</row>
    <row r="161" spans="2:16" x14ac:dyDescent="0.25">
      <c r="B161" s="35"/>
      <c r="C161" s="36" t="s">
        <v>373</v>
      </c>
      <c r="D161" s="96" t="s">
        <v>374</v>
      </c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</row>
    <row r="162" spans="2:16" ht="45" x14ac:dyDescent="0.25">
      <c r="B162" s="26">
        <v>89</v>
      </c>
      <c r="C162" s="27" t="s">
        <v>375</v>
      </c>
      <c r="D162" s="28" t="s">
        <v>376</v>
      </c>
      <c r="E162" s="28" t="s">
        <v>377</v>
      </c>
      <c r="F162" s="29">
        <v>0.35630000000000001</v>
      </c>
      <c r="G162" s="30">
        <v>1</v>
      </c>
      <c r="H162" s="45">
        <f>F162 * G162 * 2226.8455</f>
        <v>793.42505165</v>
      </c>
      <c r="I162" s="45">
        <f>F162 * G162 * 13729.122755</f>
        <v>4891.6864376065005</v>
      </c>
      <c r="J162" s="45">
        <f>F162 * G162 * 0</f>
        <v>0</v>
      </c>
      <c r="K162" s="45">
        <f>F162 * G162 * 2119.956916</f>
        <v>755.34064917080002</v>
      </c>
      <c r="L162" s="45">
        <f>F162 * G162 * 1897.972143</f>
        <v>676.24747455090005</v>
      </c>
      <c r="M162" s="45">
        <f>F162 * G162 * 445.3691</f>
        <v>158.68501033000001</v>
      </c>
      <c r="N162" s="46">
        <f>SUM(H162:M162)</f>
        <v>7275.3846233082004</v>
      </c>
      <c r="O162" s="93">
        <f t="shared" ref="O162:O166" si="47">N162*1.07*1.09*1.05</f>
        <v>8909.5451404725736</v>
      </c>
      <c r="P162" s="33">
        <f t="shared" ref="P162:P166" si="48">IF($P$9&gt;0,O162/$P$9/12,0)</f>
        <v>0.1400607611845654</v>
      </c>
    </row>
    <row r="163" spans="2:16" x14ac:dyDescent="0.25">
      <c r="B163" s="26">
        <v>90</v>
      </c>
      <c r="C163" s="27" t="s">
        <v>378</v>
      </c>
      <c r="D163" s="28" t="s">
        <v>379</v>
      </c>
      <c r="E163" s="28" t="s">
        <v>36</v>
      </c>
      <c r="F163" s="29">
        <v>0.14000000000000001</v>
      </c>
      <c r="G163" s="30">
        <v>1</v>
      </c>
      <c r="H163" s="45">
        <f>F163 * G163 * 1437.32755</f>
        <v>201.22585700000002</v>
      </c>
      <c r="I163" s="45">
        <f>F163 * G163 * 3181.4928</f>
        <v>445.40899200000007</v>
      </c>
      <c r="J163" s="45">
        <f>F163 * G163 * 0</f>
        <v>0</v>
      </c>
      <c r="K163" s="45">
        <f>F163 * G163 * 1368.335828</f>
        <v>191.56701592000002</v>
      </c>
      <c r="L163" s="45">
        <f>F163 * G163 * 628.651399</f>
        <v>88.011195860000001</v>
      </c>
      <c r="M163" s="45">
        <f>F163 * G163 * 287.46551</f>
        <v>40.245171400000004</v>
      </c>
      <c r="N163" s="46">
        <f>SUM(H163:M163)</f>
        <v>966.4582321800001</v>
      </c>
      <c r="O163" s="93">
        <f t="shared" si="47"/>
        <v>1183.5392480011108</v>
      </c>
      <c r="P163" s="33">
        <f t="shared" si="48"/>
        <v>1.8605597182938922E-2</v>
      </c>
    </row>
    <row r="164" spans="2:16" x14ac:dyDescent="0.25">
      <c r="B164" s="26">
        <v>91</v>
      </c>
      <c r="C164" s="27" t="s">
        <v>380</v>
      </c>
      <c r="D164" s="28" t="s">
        <v>381</v>
      </c>
      <c r="E164" s="28" t="s">
        <v>36</v>
      </c>
      <c r="F164" s="29">
        <v>0.01</v>
      </c>
      <c r="G164" s="30">
        <v>1</v>
      </c>
      <c r="H164" s="45">
        <f>F164 * G164 * 5181.5723</f>
        <v>51.815722999999998</v>
      </c>
      <c r="I164" s="45">
        <f>F164 * G164 * 4325.616</f>
        <v>43.256160000000001</v>
      </c>
      <c r="J164" s="45">
        <f>F164 * G164 * 0</f>
        <v>0</v>
      </c>
      <c r="K164" s="45">
        <f>F164 * G164 * 4932.85683</f>
        <v>49.328568300000001</v>
      </c>
      <c r="L164" s="45">
        <f>F164 * G164 * 1516.204739</f>
        <v>15.16204739</v>
      </c>
      <c r="M164" s="45">
        <f>F164 * G164 * 1036.31446</f>
        <v>10.3631446</v>
      </c>
      <c r="N164" s="46">
        <f>SUM(H164:M164)</f>
        <v>169.92564328999998</v>
      </c>
      <c r="O164" s="93">
        <f t="shared" si="47"/>
        <v>208.09349165758334</v>
      </c>
      <c r="P164" s="33">
        <f t="shared" si="48"/>
        <v>3.2712930210900982E-3</v>
      </c>
    </row>
    <row r="165" spans="2:16" x14ac:dyDescent="0.25">
      <c r="B165" s="26">
        <v>92</v>
      </c>
      <c r="C165" s="27" t="s">
        <v>382</v>
      </c>
      <c r="D165" s="28" t="s">
        <v>383</v>
      </c>
      <c r="E165" s="28" t="s">
        <v>36</v>
      </c>
      <c r="F165" s="29">
        <v>7.0000000000000007E-2</v>
      </c>
      <c r="G165" s="30">
        <v>1</v>
      </c>
      <c r="H165" s="45">
        <f>F165 * G165 * 7246.68516</f>
        <v>507.26796120000006</v>
      </c>
      <c r="I165" s="45">
        <f>F165 * G165 * 4305.528</f>
        <v>301.38696000000004</v>
      </c>
      <c r="J165" s="45">
        <f>F165 * G165 * 0</f>
        <v>0</v>
      </c>
      <c r="K165" s="45">
        <f>F165 * G165 * 6898.844272</f>
        <v>482.91909904000005</v>
      </c>
      <c r="L165" s="45">
        <f>F165 * G165 * 1937.36103</f>
        <v>135.61527210000003</v>
      </c>
      <c r="M165" s="45">
        <f>F165 * G165 * 1449.337032</f>
        <v>101.45359224000001</v>
      </c>
      <c r="N165" s="46">
        <f>SUM(H165:M165)</f>
        <v>1528.6428845800003</v>
      </c>
      <c r="O165" s="93">
        <f t="shared" si="47"/>
        <v>1871.9990060999373</v>
      </c>
      <c r="P165" s="33">
        <f t="shared" si="48"/>
        <v>2.9428394109600978E-2</v>
      </c>
    </row>
    <row r="166" spans="2:16" ht="45" x14ac:dyDescent="0.25">
      <c r="B166" s="26">
        <v>93</v>
      </c>
      <c r="C166" s="27" t="s">
        <v>384</v>
      </c>
      <c r="D166" s="28" t="s">
        <v>385</v>
      </c>
      <c r="E166" s="28" t="s">
        <v>386</v>
      </c>
      <c r="F166" s="29">
        <v>7.0000000000000007E-2</v>
      </c>
      <c r="G166" s="30">
        <v>1</v>
      </c>
      <c r="H166" s="45">
        <f>F166 * G166 * 3036.6075</f>
        <v>212.56252500000002</v>
      </c>
      <c r="I166" s="45">
        <f>F166 * G166 * 21610.5761</f>
        <v>1512.740327</v>
      </c>
      <c r="J166" s="45">
        <f>F166 * G166 * 0</f>
        <v>0</v>
      </c>
      <c r="K166" s="45">
        <f>F166 * G166 * 2890.85034</f>
        <v>202.35952380000001</v>
      </c>
      <c r="L166" s="45">
        <f>F166 * G166 * 2891.493564</f>
        <v>202.40454948000001</v>
      </c>
      <c r="M166" s="45">
        <f>F166 * G166 * 607.3215</f>
        <v>42.512505000000004</v>
      </c>
      <c r="N166" s="46">
        <f>SUM(H166:M166)</f>
        <v>2172.57943028</v>
      </c>
      <c r="O166" s="93">
        <f t="shared" si="47"/>
        <v>2660.5733590123427</v>
      </c>
      <c r="P166" s="33">
        <f t="shared" si="48"/>
        <v>4.1825022936118068E-2</v>
      </c>
    </row>
    <row r="167" spans="2:16" ht="13.9" customHeight="1" x14ac:dyDescent="0.25">
      <c r="B167" s="23"/>
      <c r="C167" s="24" t="s">
        <v>387</v>
      </c>
      <c r="D167" s="100" t="s">
        <v>388</v>
      </c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</row>
    <row r="168" spans="2:16" x14ac:dyDescent="0.25">
      <c r="B168" s="35"/>
      <c r="C168" s="36" t="s">
        <v>389</v>
      </c>
      <c r="D168" s="96" t="s">
        <v>390</v>
      </c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</row>
    <row r="169" spans="2:16" ht="30" x14ac:dyDescent="0.25">
      <c r="B169" s="26">
        <v>94</v>
      </c>
      <c r="C169" s="27" t="s">
        <v>391</v>
      </c>
      <c r="D169" s="28" t="s">
        <v>392</v>
      </c>
      <c r="E169" s="28" t="s">
        <v>393</v>
      </c>
      <c r="F169" s="29">
        <v>3</v>
      </c>
      <c r="G169" s="30">
        <v>0.2</v>
      </c>
      <c r="H169" s="45">
        <f>F169 * G169 * 241.723672</f>
        <v>145.03420320000001</v>
      </c>
      <c r="I169" s="45">
        <f>F169 * G169 * 1593.4248</f>
        <v>956.05488000000014</v>
      </c>
      <c r="J169" s="45">
        <f>F169 * G169 * 0</f>
        <v>0</v>
      </c>
      <c r="K169" s="45">
        <f>F169 * G169 * 230.120936</f>
        <v>138.07256160000003</v>
      </c>
      <c r="L169" s="45">
        <f>F169 * G169 * 216.853288</f>
        <v>130.11197280000002</v>
      </c>
      <c r="M169" s="45">
        <f>F169 * G169 * 48.344734</f>
        <v>29.006840400000005</v>
      </c>
      <c r="N169" s="46">
        <f>SUM(H169:M169)</f>
        <v>1398.2804580000004</v>
      </c>
      <c r="O169" s="93">
        <f t="shared" ref="O169:O173" si="49">N169*1.07*1.09*1.05</f>
        <v>1712.3552230736707</v>
      </c>
      <c r="P169" s="33">
        <f t="shared" ref="P169:P173" si="50">IF($P$9&gt;0,O169/$P$9/12,0)</f>
        <v>2.6918745253626211E-2</v>
      </c>
    </row>
    <row r="170" spans="2:16" x14ac:dyDescent="0.25">
      <c r="B170" s="26">
        <v>95</v>
      </c>
      <c r="C170" s="27" t="s">
        <v>394</v>
      </c>
      <c r="D170" s="28" t="s">
        <v>395</v>
      </c>
      <c r="E170" s="28" t="s">
        <v>396</v>
      </c>
      <c r="F170" s="29">
        <v>3</v>
      </c>
      <c r="G170" s="30">
        <v>1</v>
      </c>
      <c r="H170" s="45">
        <f>F170 * G170 * 16.19524</f>
        <v>48.585719999999995</v>
      </c>
      <c r="I170" s="45">
        <f>F170 * G170 * 971.66772</f>
        <v>2915.0031600000002</v>
      </c>
      <c r="J170" s="45">
        <f>F170 * G170 * 0</f>
        <v>0</v>
      </c>
      <c r="K170" s="45">
        <f>F170 * G170 * 15.417868</f>
        <v>46.253604000000003</v>
      </c>
      <c r="L170" s="45">
        <f>F170 * G170 * 105.344487</f>
        <v>316.03346099999999</v>
      </c>
      <c r="M170" s="45">
        <f>F170 * G170 * 3.239048</f>
        <v>9.7171439999999993</v>
      </c>
      <c r="N170" s="46">
        <f>SUM(H170:M170)</f>
        <v>3335.5930890000004</v>
      </c>
      <c r="O170" s="93">
        <f t="shared" si="49"/>
        <v>4084.8173306857366</v>
      </c>
      <c r="P170" s="33">
        <f t="shared" si="50"/>
        <v>6.4214571632486575E-2</v>
      </c>
    </row>
    <row r="171" spans="2:16" x14ac:dyDescent="0.25">
      <c r="B171" s="26">
        <v>96</v>
      </c>
      <c r="C171" s="27" t="s">
        <v>397</v>
      </c>
      <c r="D171" s="28" t="s">
        <v>398</v>
      </c>
      <c r="E171" s="28" t="s">
        <v>399</v>
      </c>
      <c r="F171" s="29">
        <v>1</v>
      </c>
      <c r="G171" s="30">
        <v>0.2</v>
      </c>
      <c r="H171" s="45">
        <f>F171 * G171 * 89.07382</f>
        <v>17.814764</v>
      </c>
      <c r="I171" s="45">
        <f>F171 * G171 * 133.00488</f>
        <v>26.600976000000003</v>
      </c>
      <c r="J171" s="45">
        <f>F171 * G171 * 0</f>
        <v>0</v>
      </c>
      <c r="K171" s="45">
        <f>F171 * G171 * 84.798277</f>
        <v>16.959655399999999</v>
      </c>
      <c r="L171" s="45">
        <f>F171 * G171 * 32.222083</f>
        <v>6.4444166000000003</v>
      </c>
      <c r="M171" s="45">
        <f>F171 * G171 * 17.814764</f>
        <v>3.5629528000000001</v>
      </c>
      <c r="N171" s="46">
        <f>SUM(H171:M171)</f>
        <v>71.382764800000004</v>
      </c>
      <c r="O171" s="93">
        <f t="shared" si="49"/>
        <v>87.416404515552017</v>
      </c>
      <c r="P171" s="33">
        <f t="shared" si="50"/>
        <v>1.3742124837381629E-3</v>
      </c>
    </row>
    <row r="172" spans="2:16" x14ac:dyDescent="0.25">
      <c r="B172" s="26">
        <v>97</v>
      </c>
      <c r="C172" s="27" t="s">
        <v>400</v>
      </c>
      <c r="D172" s="28" t="s">
        <v>401</v>
      </c>
      <c r="E172" s="28" t="s">
        <v>402</v>
      </c>
      <c r="F172" s="29">
        <v>1</v>
      </c>
      <c r="G172" s="30">
        <v>0.2</v>
      </c>
      <c r="H172" s="45">
        <f>F172 * G172 * 141.70835</f>
        <v>28.341670000000001</v>
      </c>
      <c r="I172" s="45">
        <f>F172 * G172 * 3353.73624</f>
        <v>670.74724800000013</v>
      </c>
      <c r="J172" s="45">
        <f>F172 * G172 * 0</f>
        <v>0</v>
      </c>
      <c r="K172" s="45">
        <f>F172 * G172 * 134.90635</f>
        <v>26.981270000000002</v>
      </c>
      <c r="L172" s="45">
        <f>F172 * G172 * 381.186849</f>
        <v>76.237369799999996</v>
      </c>
      <c r="M172" s="45">
        <f>F172 * G172 * 28.34167</f>
        <v>5.6683340000000006</v>
      </c>
      <c r="N172" s="46">
        <f>SUM(H172:M172)</f>
        <v>807.97589180000011</v>
      </c>
      <c r="O172" s="93">
        <f t="shared" si="49"/>
        <v>989.45939673665737</v>
      </c>
      <c r="P172" s="33">
        <f t="shared" si="50"/>
        <v>1.5554602853811503E-2</v>
      </c>
    </row>
    <row r="173" spans="2:16" ht="30" x14ac:dyDescent="0.25">
      <c r="B173" s="26">
        <v>98</v>
      </c>
      <c r="C173" s="27" t="s">
        <v>403</v>
      </c>
      <c r="D173" s="28" t="s">
        <v>404</v>
      </c>
      <c r="E173" s="28" t="s">
        <v>405</v>
      </c>
      <c r="F173" s="29">
        <v>1</v>
      </c>
      <c r="G173" s="30">
        <v>1</v>
      </c>
      <c r="H173" s="45">
        <f>F173 * G173 * 214.58693</f>
        <v>214.58693</v>
      </c>
      <c r="I173" s="45">
        <f>F173 * G173 * 108.405949</f>
        <v>108.40594900000001</v>
      </c>
      <c r="J173" s="45">
        <f>F173 * G173 * 0</f>
        <v>0</v>
      </c>
      <c r="K173" s="45">
        <f>F173 * G173 * 204.286757</f>
        <v>204.28675699999999</v>
      </c>
      <c r="L173" s="45">
        <f>F173 * G173 * 55.364362</f>
        <v>55.364362</v>
      </c>
      <c r="M173" s="45">
        <f>F173 * G173 * 42.917386</f>
        <v>42.917386</v>
      </c>
      <c r="N173" s="46">
        <f>SUM(H173:M173)</f>
        <v>625.56138399999998</v>
      </c>
      <c r="O173" s="93">
        <f t="shared" si="49"/>
        <v>766.07185426716012</v>
      </c>
      <c r="P173" s="33">
        <f t="shared" si="50"/>
        <v>1.2042882699288814E-2</v>
      </c>
    </row>
    <row r="174" spans="2:16" x14ac:dyDescent="0.25">
      <c r="B174" s="35"/>
      <c r="C174" s="36" t="s">
        <v>406</v>
      </c>
      <c r="D174" s="96" t="s">
        <v>407</v>
      </c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</row>
    <row r="175" spans="2:16" x14ac:dyDescent="0.25">
      <c r="B175" s="26">
        <v>99</v>
      </c>
      <c r="C175" s="27" t="s">
        <v>408</v>
      </c>
      <c r="D175" s="28" t="s">
        <v>409</v>
      </c>
      <c r="E175" s="28" t="s">
        <v>410</v>
      </c>
      <c r="F175" s="29">
        <v>1</v>
      </c>
      <c r="G175" s="30">
        <v>0.2</v>
      </c>
      <c r="H175" s="45">
        <f>F175 * G175 * 212.562525</f>
        <v>42.512505000000004</v>
      </c>
      <c r="I175" s="45">
        <f>F175 * G175 * 13562.40204</f>
        <v>2712.4804080000004</v>
      </c>
      <c r="J175" s="45">
        <f>F175 * G175 * 0</f>
        <v>0</v>
      </c>
      <c r="K175" s="45">
        <f>F175 * G175 * 202.359524</f>
        <v>40.471904800000004</v>
      </c>
      <c r="L175" s="45">
        <f>F175 * G175 * 1467.619029</f>
        <v>293.52380579999999</v>
      </c>
      <c r="M175" s="45">
        <f>F175 * G175 * 42.512505</f>
        <v>8.5025010000000005</v>
      </c>
      <c r="N175" s="46">
        <f>SUM(H175:M175)</f>
        <v>3097.4911246000006</v>
      </c>
      <c r="O175" s="93">
        <f t="shared" ref="O175:O176" si="51">N175*1.07*1.09*1.05</f>
        <v>3793.2340935520306</v>
      </c>
      <c r="P175" s="33">
        <f t="shared" ref="P175:P176" si="52">IF($P$9&gt;0,O175/$P$9/12,0)</f>
        <v>5.9630794402817565E-2</v>
      </c>
    </row>
    <row r="176" spans="2:16" x14ac:dyDescent="0.25">
      <c r="B176" s="26">
        <v>100</v>
      </c>
      <c r="C176" s="27" t="s">
        <v>411</v>
      </c>
      <c r="D176" s="28" t="s">
        <v>412</v>
      </c>
      <c r="E176" s="28" t="s">
        <v>413</v>
      </c>
      <c r="F176" s="29">
        <v>5</v>
      </c>
      <c r="G176" s="30">
        <v>1</v>
      </c>
      <c r="H176" s="45">
        <f>F176 * G176 * 241.723672</f>
        <v>1208.6183599999999</v>
      </c>
      <c r="I176" s="45">
        <f>F176 * G176 * 1593.4248</f>
        <v>7967.1239999999998</v>
      </c>
      <c r="J176" s="45">
        <f>F176 * G176 * 0</f>
        <v>0</v>
      </c>
      <c r="K176" s="45">
        <f>F176 * G176 * 230.120936</f>
        <v>1150.6046799999999</v>
      </c>
      <c r="L176" s="45">
        <f>F176 * G176 * 216.853288</f>
        <v>1084.2664399999999</v>
      </c>
      <c r="M176" s="45">
        <f>F176 * G176 * 48.344734</f>
        <v>241.72367000000003</v>
      </c>
      <c r="N176" s="46">
        <f>SUM(H176:M176)</f>
        <v>11652.337149999999</v>
      </c>
      <c r="O176" s="93">
        <f t="shared" si="51"/>
        <v>14269.626858947251</v>
      </c>
      <c r="P176" s="33">
        <f t="shared" si="52"/>
        <v>0.2243228771135517</v>
      </c>
    </row>
    <row r="177" spans="2:16" x14ac:dyDescent="0.25">
      <c r="B177" s="35"/>
      <c r="C177" s="36" t="s">
        <v>414</v>
      </c>
      <c r="D177" s="96" t="s">
        <v>415</v>
      </c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</row>
    <row r="178" spans="2:16" x14ac:dyDescent="0.25">
      <c r="B178" s="26">
        <v>101</v>
      </c>
      <c r="C178" s="27" t="s">
        <v>416</v>
      </c>
      <c r="D178" s="28" t="s">
        <v>417</v>
      </c>
      <c r="E178" s="28" t="s">
        <v>418</v>
      </c>
      <c r="F178" s="29">
        <v>1</v>
      </c>
      <c r="G178" s="30">
        <v>0.2</v>
      </c>
      <c r="H178" s="45">
        <f>F178 * G178 * 129.56192</f>
        <v>25.912383999999999</v>
      </c>
      <c r="I178" s="45">
        <f>F178 * G178 * 5348.51928</f>
        <v>1069.7038560000001</v>
      </c>
      <c r="J178" s="45">
        <f>F178 * G178 * 0</f>
        <v>0</v>
      </c>
      <c r="K178" s="45">
        <f>F178 * G178 * 123.342948</f>
        <v>24.668589600000004</v>
      </c>
      <c r="L178" s="45">
        <f>F178 * G178 * 588.149536</f>
        <v>117.62990720000001</v>
      </c>
      <c r="M178" s="45">
        <f>F178 * G178 * 25.912384</f>
        <v>5.1824767999999999</v>
      </c>
      <c r="N178" s="46">
        <f>SUM(H178:M178)</f>
        <v>1243.0972135999998</v>
      </c>
      <c r="O178" s="93">
        <f t="shared" ref="O178:O179" si="53">N178*1.07*1.09*1.05</f>
        <v>1522.315494232764</v>
      </c>
      <c r="P178" s="33">
        <f t="shared" ref="P178:P179" si="54">IF($P$9&gt;0,O178/$P$9/12,0)</f>
        <v>2.3931262878588377E-2</v>
      </c>
    </row>
    <row r="179" spans="2:16" x14ac:dyDescent="0.25">
      <c r="B179" s="26">
        <v>102</v>
      </c>
      <c r="C179" s="27" t="s">
        <v>419</v>
      </c>
      <c r="D179" s="28" t="s">
        <v>420</v>
      </c>
      <c r="E179" s="28" t="s">
        <v>421</v>
      </c>
      <c r="F179" s="29">
        <v>6.1199999999999997E-2</v>
      </c>
      <c r="G179" s="30">
        <v>1</v>
      </c>
      <c r="H179" s="45">
        <f>F179 * G179 * 40488.1</f>
        <v>2477.8717199999996</v>
      </c>
      <c r="I179" s="45">
        <f>F179 * G179 * 74962.334626</f>
        <v>4587.6948791112</v>
      </c>
      <c r="J179" s="45">
        <f>F179 * G179 * 0</f>
        <v>0</v>
      </c>
      <c r="K179" s="45">
        <f>F179 * G179 * 38544.6712</f>
        <v>2358.9338774399998</v>
      </c>
      <c r="L179" s="45">
        <f>F179 * G179 * 16169.486112</f>
        <v>989.57255005440004</v>
      </c>
      <c r="M179" s="45">
        <f>F179 * G179 * 8097.62</f>
        <v>495.574344</v>
      </c>
      <c r="N179" s="46">
        <f>SUM(H179:M179)</f>
        <v>10909.6473706056</v>
      </c>
      <c r="O179" s="93">
        <f t="shared" si="53"/>
        <v>13360.117814754181</v>
      </c>
      <c r="P179" s="33">
        <f t="shared" si="54"/>
        <v>0.21002511813422278</v>
      </c>
    </row>
    <row r="180" spans="2:16" x14ac:dyDescent="0.25">
      <c r="B180" s="35"/>
      <c r="C180" s="36" t="s">
        <v>422</v>
      </c>
      <c r="D180" s="96" t="s">
        <v>423</v>
      </c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</row>
    <row r="181" spans="2:16" x14ac:dyDescent="0.25">
      <c r="B181" s="26">
        <v>103</v>
      </c>
      <c r="C181" s="27" t="s">
        <v>424</v>
      </c>
      <c r="D181" s="28" t="s">
        <v>425</v>
      </c>
      <c r="E181" s="28" t="s">
        <v>426</v>
      </c>
      <c r="F181" s="29">
        <v>5</v>
      </c>
      <c r="G181" s="30">
        <v>1</v>
      </c>
      <c r="H181" s="45">
        <f>F181 * G181 * 275.929852</f>
        <v>1379.6492599999999</v>
      </c>
      <c r="I181" s="45">
        <f>F181 * G181 * 25.464927</f>
        <v>127.324635</v>
      </c>
      <c r="J181" s="45">
        <f>F181 * G181 * 0</f>
        <v>0</v>
      </c>
      <c r="K181" s="45">
        <f>F181 * G181 * 262.685219</f>
        <v>1313.426095</v>
      </c>
      <c r="L181" s="45">
        <f>F181 * G181 * 59.2284</f>
        <v>296.142</v>
      </c>
      <c r="M181" s="45">
        <f>F181 * G181 * 55.18597</f>
        <v>275.92984999999999</v>
      </c>
      <c r="N181" s="46">
        <f>SUM(H181:M181)</f>
        <v>3392.4718399999997</v>
      </c>
      <c r="O181" s="93">
        <f t="shared" ref="O181" si="55">N181*1.07*1.09*1.05</f>
        <v>4154.4719023416001</v>
      </c>
      <c r="P181" s="33">
        <f>IF($P$9&gt;0,O181/$P$9/12,0)</f>
        <v>6.5309562697943788E-2</v>
      </c>
    </row>
    <row r="182" spans="2:16" x14ac:dyDescent="0.25">
      <c r="B182" s="35"/>
      <c r="C182" s="36" t="s">
        <v>427</v>
      </c>
      <c r="D182" s="96" t="s">
        <v>428</v>
      </c>
      <c r="E182" s="96"/>
      <c r="F182" s="96"/>
      <c r="G182" s="96"/>
      <c r="H182" s="96"/>
      <c r="I182" s="96"/>
      <c r="J182" s="96"/>
      <c r="K182" s="96"/>
      <c r="L182" s="96"/>
      <c r="M182" s="96"/>
      <c r="N182" s="96"/>
      <c r="O182" s="96"/>
      <c r="P182" s="96"/>
    </row>
    <row r="183" spans="2:16" x14ac:dyDescent="0.25">
      <c r="B183" s="26">
        <v>104</v>
      </c>
      <c r="C183" s="27" t="s">
        <v>429</v>
      </c>
      <c r="D183" s="28" t="s">
        <v>430</v>
      </c>
      <c r="E183" s="28" t="s">
        <v>431</v>
      </c>
      <c r="F183" s="29">
        <v>1</v>
      </c>
      <c r="G183" s="30">
        <v>2</v>
      </c>
      <c r="H183" s="45">
        <f>F183 * G183 * 1012.2025</f>
        <v>2024.405</v>
      </c>
      <c r="I183" s="45">
        <f>F183 * G183 * 0</f>
        <v>0</v>
      </c>
      <c r="J183" s="45">
        <f>F183 * G183 * 0</f>
        <v>0</v>
      </c>
      <c r="K183" s="45">
        <f>F183 * G183 * 963.61678</f>
        <v>1927.2335599999999</v>
      </c>
      <c r="L183" s="45">
        <f>F183 * G183 * 207.461024</f>
        <v>414.92204800000002</v>
      </c>
      <c r="M183" s="45">
        <f>F183 * G183 * 202.4405</f>
        <v>404.88099999999997</v>
      </c>
      <c r="N183" s="46">
        <f>SUM(H183:M183)</f>
        <v>4771.4416080000001</v>
      </c>
      <c r="O183" s="93">
        <f t="shared" ref="O183:O184" si="56">N183*1.07*1.09*1.05</f>
        <v>5843.178964780921</v>
      </c>
      <c r="P183" s="33">
        <f t="shared" ref="P183:P184" si="57">IF($P$9&gt;0,O183/$P$9/12,0)</f>
        <v>9.1856551669196387E-2</v>
      </c>
    </row>
    <row r="184" spans="2:16" x14ac:dyDescent="0.25">
      <c r="B184" s="26">
        <v>105</v>
      </c>
      <c r="C184" s="27" t="s">
        <v>432</v>
      </c>
      <c r="D184" s="28" t="s">
        <v>433</v>
      </c>
      <c r="E184" s="28" t="s">
        <v>431</v>
      </c>
      <c r="F184" s="29">
        <v>0.02</v>
      </c>
      <c r="G184" s="30">
        <v>2</v>
      </c>
      <c r="H184" s="45">
        <f>F184 * G184 * 2429.286</f>
        <v>97.171440000000004</v>
      </c>
      <c r="I184" s="45">
        <f>F184 * G184 * 0</f>
        <v>0</v>
      </c>
      <c r="J184" s="45">
        <f>F184 * G184 * 0</f>
        <v>0</v>
      </c>
      <c r="K184" s="45">
        <f>F184 * G184 * 2312.680272</f>
        <v>92.507210880000002</v>
      </c>
      <c r="L184" s="45">
        <f>F184 * G184 * 497.906458</f>
        <v>19.916258320000001</v>
      </c>
      <c r="M184" s="45">
        <f>F184 * G184 * 485.8572</f>
        <v>19.434287999999999</v>
      </c>
      <c r="N184" s="46">
        <f>SUM(H184:M184)</f>
        <v>229.02919720000003</v>
      </c>
      <c r="O184" s="93">
        <f t="shared" si="56"/>
        <v>280.47259032907806</v>
      </c>
      <c r="P184" s="33">
        <f t="shared" si="57"/>
        <v>4.4091144804294484E-3</v>
      </c>
    </row>
    <row r="185" spans="2:16" x14ac:dyDescent="0.25">
      <c r="B185" s="35"/>
      <c r="C185" s="36" t="s">
        <v>434</v>
      </c>
      <c r="D185" s="96" t="s">
        <v>435</v>
      </c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</row>
    <row r="186" spans="2:16" x14ac:dyDescent="0.25">
      <c r="B186" s="26">
        <v>106</v>
      </c>
      <c r="C186" s="27" t="s">
        <v>436</v>
      </c>
      <c r="D186" s="28" t="s">
        <v>437</v>
      </c>
      <c r="E186" s="28" t="s">
        <v>438</v>
      </c>
      <c r="F186" s="29">
        <v>2</v>
      </c>
      <c r="G186" s="30">
        <v>1</v>
      </c>
      <c r="H186" s="45">
        <f>F186 * G186 * 38.463695</f>
        <v>76.927390000000003</v>
      </c>
      <c r="I186" s="45">
        <f>F186 * G186 * 43.25616</f>
        <v>86.512320000000003</v>
      </c>
      <c r="J186" s="45">
        <f t="shared" ref="J186:J192" si="58">F186 * G186 * 0</f>
        <v>0</v>
      </c>
      <c r="K186" s="45">
        <f>F186 * G186 * 36.617438</f>
        <v>73.234876</v>
      </c>
      <c r="L186" s="45">
        <f>F186 * G186 * 12.425415</f>
        <v>24.850829999999998</v>
      </c>
      <c r="M186" s="45">
        <f>F186 * G186 * 7.692739</f>
        <v>15.385478000000001</v>
      </c>
      <c r="N186" s="46">
        <f t="shared" ref="N186:N192" si="59">SUM(H186:M186)</f>
        <v>276.91089399999993</v>
      </c>
      <c r="O186" s="93">
        <f t="shared" ref="O186:O192" si="60">N186*1.07*1.09*1.05</f>
        <v>339.10923445580994</v>
      </c>
      <c r="P186" s="33">
        <f t="shared" ref="P186:P192" si="61">IF($P$9&gt;0,O186/$P$9/12,0)</f>
        <v>5.3309003718765317E-3</v>
      </c>
    </row>
    <row r="187" spans="2:16" ht="30" x14ac:dyDescent="0.25">
      <c r="B187" s="26">
        <v>107</v>
      </c>
      <c r="C187" s="27" t="s">
        <v>439</v>
      </c>
      <c r="D187" s="28" t="s">
        <v>440</v>
      </c>
      <c r="E187" s="28" t="s">
        <v>441</v>
      </c>
      <c r="F187" s="29">
        <v>4</v>
      </c>
      <c r="G187" s="30">
        <v>1</v>
      </c>
      <c r="H187" s="45">
        <f>F187 * G187 * 203.184709</f>
        <v>812.73883599999999</v>
      </c>
      <c r="I187" s="45">
        <f>F187 * G187 * 429.856304</f>
        <v>1719.4252160000001</v>
      </c>
      <c r="J187" s="45">
        <f t="shared" si="58"/>
        <v>0</v>
      </c>
      <c r="K187" s="45">
        <f>F187 * G187 * 193.431843</f>
        <v>773.72737199999995</v>
      </c>
      <c r="L187" s="45">
        <f>F187 * G187 * 86.77965</f>
        <v>347.11860000000001</v>
      </c>
      <c r="M187" s="45">
        <f>F187 * G187 * 40.636942</f>
        <v>162.54776799999999</v>
      </c>
      <c r="N187" s="46">
        <f t="shared" si="59"/>
        <v>3815.5577920000001</v>
      </c>
      <c r="O187" s="93">
        <f t="shared" si="60"/>
        <v>4672.5893054500812</v>
      </c>
      <c r="P187" s="33">
        <f t="shared" si="61"/>
        <v>7.3454525961297881E-2</v>
      </c>
    </row>
    <row r="188" spans="2:16" ht="30" x14ac:dyDescent="0.25">
      <c r="B188" s="26">
        <v>108</v>
      </c>
      <c r="C188" s="27" t="s">
        <v>442</v>
      </c>
      <c r="D188" s="28" t="s">
        <v>443</v>
      </c>
      <c r="E188" s="28" t="s">
        <v>441</v>
      </c>
      <c r="F188" s="29">
        <v>1</v>
      </c>
      <c r="G188" s="30">
        <v>1</v>
      </c>
      <c r="H188" s="45">
        <f>F188 * G188 * 32.39048</f>
        <v>32.390479999999997</v>
      </c>
      <c r="I188" s="45">
        <f>F188 * G188 * 43.05528</f>
        <v>43.055280000000003</v>
      </c>
      <c r="J188" s="45">
        <f t="shared" si="58"/>
        <v>0</v>
      </c>
      <c r="K188" s="45">
        <f>F188 * G188 * 30.835737</f>
        <v>30.835737000000002</v>
      </c>
      <c r="L188" s="45">
        <f>F188 * G188 * 11.159557</f>
        <v>11.159557</v>
      </c>
      <c r="M188" s="45">
        <f>F188 * G188 * 6.478096</f>
        <v>6.4780959999999999</v>
      </c>
      <c r="N188" s="46">
        <f t="shared" si="59"/>
        <v>123.91915</v>
      </c>
      <c r="O188" s="93">
        <f t="shared" si="60"/>
        <v>151.75324987725</v>
      </c>
      <c r="P188" s="33">
        <f t="shared" si="61"/>
        <v>2.3856072734271838E-3</v>
      </c>
    </row>
    <row r="189" spans="2:16" x14ac:dyDescent="0.25">
      <c r="B189" s="26">
        <v>109</v>
      </c>
      <c r="C189" s="27" t="s">
        <v>444</v>
      </c>
      <c r="D189" s="28" t="s">
        <v>445</v>
      </c>
      <c r="E189" s="28" t="s">
        <v>446</v>
      </c>
      <c r="F189" s="29">
        <v>5</v>
      </c>
      <c r="G189" s="30">
        <v>1</v>
      </c>
      <c r="H189" s="45">
        <f>F189 * G189 * 19.231848</f>
        <v>96.159239999999997</v>
      </c>
      <c r="I189" s="45">
        <f>F189 * G189 * 138.06036</f>
        <v>690.30179999999996</v>
      </c>
      <c r="J189" s="45">
        <f t="shared" si="58"/>
        <v>0</v>
      </c>
      <c r="K189" s="45">
        <f>F189 * G189 * 18.308719</f>
        <v>91.543594999999996</v>
      </c>
      <c r="L189" s="45">
        <f>F189 * G189 * 18.438098</f>
        <v>92.190489999999997</v>
      </c>
      <c r="M189" s="45">
        <f>F189 * G189 * 3.84637</f>
        <v>19.231849999999998</v>
      </c>
      <c r="N189" s="46">
        <f t="shared" si="59"/>
        <v>989.42697499999986</v>
      </c>
      <c r="O189" s="93">
        <f t="shared" si="60"/>
        <v>1211.6671149896251</v>
      </c>
      <c r="P189" s="33">
        <f t="shared" si="61"/>
        <v>1.9047775812576637E-2</v>
      </c>
    </row>
    <row r="190" spans="2:16" ht="30" x14ac:dyDescent="0.25">
      <c r="B190" s="26">
        <v>110</v>
      </c>
      <c r="C190" s="27" t="s">
        <v>447</v>
      </c>
      <c r="D190" s="28" t="s">
        <v>448</v>
      </c>
      <c r="E190" s="28" t="s">
        <v>441</v>
      </c>
      <c r="F190" s="29">
        <v>1</v>
      </c>
      <c r="G190" s="30">
        <v>1</v>
      </c>
      <c r="H190" s="45">
        <f>F190 * G190 * 372.39128</f>
        <v>372.39127999999999</v>
      </c>
      <c r="I190" s="45">
        <f>F190 * G190 * 776.852577</f>
        <v>776.852577</v>
      </c>
      <c r="J190" s="45">
        <f t="shared" si="58"/>
        <v>0</v>
      </c>
      <c r="K190" s="45">
        <f>F190 * G190 * 354.516499</f>
        <v>354.51649900000001</v>
      </c>
      <c r="L190" s="45">
        <f>F190 * G190 * 157.894838</f>
        <v>157.89483799999999</v>
      </c>
      <c r="M190" s="45">
        <f>F190 * G190 * 74.478256</f>
        <v>74.478256000000002</v>
      </c>
      <c r="N190" s="46">
        <f t="shared" si="59"/>
        <v>1736.13345</v>
      </c>
      <c r="O190" s="93">
        <f t="shared" si="60"/>
        <v>2126.0950648717503</v>
      </c>
      <c r="P190" s="33">
        <f t="shared" si="61"/>
        <v>3.3422861486382287E-2</v>
      </c>
    </row>
    <row r="191" spans="2:16" x14ac:dyDescent="0.25">
      <c r="B191" s="26">
        <v>111</v>
      </c>
      <c r="C191" s="27" t="s">
        <v>449</v>
      </c>
      <c r="D191" s="28" t="s">
        <v>450</v>
      </c>
      <c r="E191" s="28" t="s">
        <v>441</v>
      </c>
      <c r="F191" s="29">
        <v>3</v>
      </c>
      <c r="G191" s="30">
        <v>1</v>
      </c>
      <c r="H191" s="45">
        <f>F191 * G191 * 372.39128</f>
        <v>1117.1738399999999</v>
      </c>
      <c r="I191" s="45">
        <f>F191 * G191 * 1564.302177</f>
        <v>4692.9065310000005</v>
      </c>
      <c r="J191" s="45">
        <f t="shared" si="58"/>
        <v>0</v>
      </c>
      <c r="K191" s="45">
        <f>F191 * G191 * 354.516499</f>
        <v>1063.549497</v>
      </c>
      <c r="L191" s="45">
        <f>F191 * G191 * 240.577046</f>
        <v>721.73113799999999</v>
      </c>
      <c r="M191" s="45">
        <f>F191 * G191 * 74.478256</f>
        <v>223.43476800000002</v>
      </c>
      <c r="N191" s="46">
        <f t="shared" si="59"/>
        <v>7818.7957740000002</v>
      </c>
      <c r="O191" s="93">
        <f t="shared" si="60"/>
        <v>9575.0145867770116</v>
      </c>
      <c r="P191" s="33">
        <f t="shared" si="61"/>
        <v>0.1505221434128311</v>
      </c>
    </row>
    <row r="192" spans="2:16" ht="30" x14ac:dyDescent="0.25">
      <c r="B192" s="26">
        <v>112</v>
      </c>
      <c r="C192" s="27" t="s">
        <v>451</v>
      </c>
      <c r="D192" s="28" t="s">
        <v>452</v>
      </c>
      <c r="E192" s="28" t="s">
        <v>453</v>
      </c>
      <c r="F192" s="29">
        <v>0.03</v>
      </c>
      <c r="G192" s="30">
        <v>1</v>
      </c>
      <c r="H192" s="45">
        <f>F192 * G192 * 14170.835</f>
        <v>425.12504999999993</v>
      </c>
      <c r="I192" s="45">
        <f>F192 * G192 * 82.747494</f>
        <v>2.4824248199999999</v>
      </c>
      <c r="J192" s="45">
        <f t="shared" si="58"/>
        <v>0</v>
      </c>
      <c r="K192" s="45">
        <f>F192 * G192 * 13490.63492</f>
        <v>404.71904760000001</v>
      </c>
      <c r="L192" s="45">
        <f>F192 * G192 * 2913.142828</f>
        <v>87.394284839999997</v>
      </c>
      <c r="M192" s="45">
        <f>F192 * G192 * 2834.167</f>
        <v>85.025009999999995</v>
      </c>
      <c r="N192" s="46">
        <f t="shared" si="59"/>
        <v>1004.7458172599999</v>
      </c>
      <c r="O192" s="93">
        <f t="shared" si="60"/>
        <v>1230.426799003855</v>
      </c>
      <c r="P192" s="33">
        <f t="shared" si="61"/>
        <v>1.9342683754698092E-2</v>
      </c>
    </row>
    <row r="193" spans="2:16" ht="13.9" customHeight="1" x14ac:dyDescent="0.25">
      <c r="B193" s="23"/>
      <c r="C193" s="24" t="s">
        <v>314</v>
      </c>
      <c r="D193" s="100" t="s">
        <v>315</v>
      </c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</row>
    <row r="194" spans="2:16" x14ac:dyDescent="0.25">
      <c r="B194" s="35"/>
      <c r="C194" s="36" t="s">
        <v>454</v>
      </c>
      <c r="D194" s="96" t="s">
        <v>455</v>
      </c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</row>
    <row r="195" spans="2:16" ht="30" x14ac:dyDescent="0.25">
      <c r="B195" s="26">
        <v>113</v>
      </c>
      <c r="C195" s="27" t="s">
        <v>456</v>
      </c>
      <c r="D195" s="28" t="s">
        <v>457</v>
      </c>
      <c r="E195" s="28" t="s">
        <v>458</v>
      </c>
      <c r="F195" s="29">
        <v>0.15</v>
      </c>
      <c r="G195" s="30">
        <v>2</v>
      </c>
      <c r="H195" s="45">
        <f>F195 * G195 * 2052.3708</f>
        <v>615.71123999999998</v>
      </c>
      <c r="I195" s="45">
        <f>F195 * G195 * 0</f>
        <v>0</v>
      </c>
      <c r="J195" s="45">
        <f>F195 * G195 * 0</f>
        <v>0</v>
      </c>
      <c r="K195" s="45">
        <f>F195 * G195 * 1953.857002</f>
        <v>586.15710059999992</v>
      </c>
      <c r="L195" s="45">
        <f>F195 * G195 * 420.653919</f>
        <v>126.19617569999998</v>
      </c>
      <c r="M195" s="45">
        <f>F195 * G195 * 410.47416</f>
        <v>123.142248</v>
      </c>
      <c r="N195" s="46">
        <f>SUM(H195:M195)</f>
        <v>1451.2067643</v>
      </c>
      <c r="O195" s="93">
        <f t="shared" ref="O195:O198" si="62">N195*1.07*1.09*1.05</f>
        <v>1777.1695716632448</v>
      </c>
      <c r="P195" s="33">
        <f t="shared" ref="P195:P198" si="63">IF($P$9&gt;0,O195/$P$9/12,0)</f>
        <v>2.7937646539383212E-2</v>
      </c>
    </row>
    <row r="196" spans="2:16" x14ac:dyDescent="0.25">
      <c r="B196" s="26">
        <v>114</v>
      </c>
      <c r="C196" s="27" t="s">
        <v>459</v>
      </c>
      <c r="D196" s="28" t="s">
        <v>460</v>
      </c>
      <c r="E196" s="28" t="s">
        <v>201</v>
      </c>
      <c r="F196" s="29">
        <v>2.7195999999999998</v>
      </c>
      <c r="G196" s="30">
        <v>2</v>
      </c>
      <c r="H196" s="45">
        <f>F196 * G196 * 1012.2025</f>
        <v>5505.5718379999998</v>
      </c>
      <c r="I196" s="45">
        <f>F196 * G196 * 561.33684</f>
        <v>3053.223340128</v>
      </c>
      <c r="J196" s="45">
        <f>F196 * G196 * 0</f>
        <v>0</v>
      </c>
      <c r="K196" s="45">
        <f>F196 * G196 * 963.61678</f>
        <v>5241.304389775999</v>
      </c>
      <c r="L196" s="45">
        <f>F196 * G196 * 266.401393</f>
        <v>1449.0104568055999</v>
      </c>
      <c r="M196" s="45">
        <f>F196 * G196 * 202.4405</f>
        <v>1101.1143675999999</v>
      </c>
      <c r="N196" s="46">
        <f>SUM(H196:M196)</f>
        <v>16350.224392309598</v>
      </c>
      <c r="O196" s="93">
        <f t="shared" si="62"/>
        <v>20022.730044188225</v>
      </c>
      <c r="P196" s="33">
        <f t="shared" si="63"/>
        <v>0.31476341011425873</v>
      </c>
    </row>
    <row r="197" spans="2:16" x14ac:dyDescent="0.25">
      <c r="B197" s="26">
        <v>115</v>
      </c>
      <c r="C197" s="27" t="s">
        <v>461</v>
      </c>
      <c r="D197" s="28" t="s">
        <v>462</v>
      </c>
      <c r="E197" s="28" t="s">
        <v>201</v>
      </c>
      <c r="F197" s="29">
        <v>0.13600000000000001</v>
      </c>
      <c r="G197" s="30">
        <v>2</v>
      </c>
      <c r="H197" s="45">
        <f>F197 * G197 * 404.881</f>
        <v>110.12763200000001</v>
      </c>
      <c r="I197" s="45">
        <f>F197 * G197 * 0</f>
        <v>0</v>
      </c>
      <c r="J197" s="45">
        <f>F197 * G197 * 0</f>
        <v>0</v>
      </c>
      <c r="K197" s="45">
        <f>F197 * G197 * 385.446712</f>
        <v>104.84150566400001</v>
      </c>
      <c r="L197" s="45">
        <f>F197 * G197 * 82.98441</f>
        <v>22.571759520000001</v>
      </c>
      <c r="M197" s="45">
        <f>F197 * G197 * 80.9762</f>
        <v>22.025526400000004</v>
      </c>
      <c r="N197" s="46">
        <f>SUM(H197:M197)</f>
        <v>259.56642358400001</v>
      </c>
      <c r="O197" s="93">
        <f t="shared" si="62"/>
        <v>317.86893581732016</v>
      </c>
      <c r="P197" s="33">
        <f t="shared" si="63"/>
        <v>4.9969964128988272E-3</v>
      </c>
    </row>
    <row r="198" spans="2:16" x14ac:dyDescent="0.25">
      <c r="B198" s="26">
        <v>116</v>
      </c>
      <c r="C198" s="27" t="s">
        <v>463</v>
      </c>
      <c r="D198" s="28" t="s">
        <v>464</v>
      </c>
      <c r="E198" s="28" t="s">
        <v>465</v>
      </c>
      <c r="F198" s="29">
        <v>1</v>
      </c>
      <c r="G198" s="30">
        <v>2</v>
      </c>
      <c r="H198" s="45">
        <f>F198 * G198 * 57.770437</f>
        <v>115.540874</v>
      </c>
      <c r="I198" s="45">
        <f>F198 * G198 * 0</f>
        <v>0</v>
      </c>
      <c r="J198" s="45">
        <f>F198 * G198 * 0</f>
        <v>0</v>
      </c>
      <c r="K198" s="45">
        <f>F198 * G198 * 54.997456</f>
        <v>109.994912</v>
      </c>
      <c r="L198" s="45">
        <f>F198 * G198 * 11.840628</f>
        <v>23.681256000000001</v>
      </c>
      <c r="M198" s="45">
        <f>F198 * G198 * 11.554087</f>
        <v>23.108174000000002</v>
      </c>
      <c r="N198" s="46">
        <f>SUM(H198:M198)</f>
        <v>272.32521600000001</v>
      </c>
      <c r="O198" s="93">
        <f t="shared" si="62"/>
        <v>333.49354439184003</v>
      </c>
      <c r="P198" s="33">
        <f t="shared" si="63"/>
        <v>5.2426200149632146E-3</v>
      </c>
    </row>
    <row r="199" spans="2:16" ht="13.9" customHeight="1" x14ac:dyDescent="0.25">
      <c r="B199" s="97" t="s">
        <v>371</v>
      </c>
      <c r="C199" s="97"/>
      <c r="D199" s="97"/>
      <c r="E199" s="97"/>
      <c r="F199" s="97"/>
      <c r="G199" s="97"/>
      <c r="H199" s="47">
        <f t="shared" ref="H199:P199" si="64">SUM(H160:H198)</f>
        <v>18756.65877405</v>
      </c>
      <c r="I199" s="47">
        <f t="shared" si="64"/>
        <v>39400.378356665715</v>
      </c>
      <c r="J199" s="47">
        <f t="shared" si="64"/>
        <v>0</v>
      </c>
      <c r="K199" s="47">
        <f t="shared" si="64"/>
        <v>17856.339153590794</v>
      </c>
      <c r="L199" s="47">
        <f t="shared" si="64"/>
        <v>7981.4045168209013</v>
      </c>
      <c r="M199" s="47">
        <f t="shared" si="64"/>
        <v>3751.3317525699999</v>
      </c>
      <c r="N199" s="47">
        <f t="shared" si="64"/>
        <v>87746.1125536974</v>
      </c>
      <c r="O199" s="47">
        <f t="shared" si="64"/>
        <v>107455.20562494616</v>
      </c>
      <c r="P199" s="48">
        <f t="shared" si="64"/>
        <v>1.6892285358886083</v>
      </c>
    </row>
    <row r="200" spans="2:16" x14ac:dyDescent="0.25">
      <c r="B200" s="98" t="s">
        <v>466</v>
      </c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102"/>
      <c r="N200" s="102"/>
      <c r="O200" s="41"/>
      <c r="P200" s="42"/>
    </row>
    <row r="201" spans="2:16" x14ac:dyDescent="0.25">
      <c r="B201" s="98"/>
      <c r="C201" s="98"/>
      <c r="D201" s="98"/>
      <c r="E201" s="98"/>
      <c r="F201" s="98"/>
      <c r="G201" s="98"/>
      <c r="H201" s="98"/>
      <c r="I201" s="98"/>
      <c r="J201" s="98"/>
      <c r="K201" s="98"/>
      <c r="L201" s="98"/>
      <c r="M201" s="103"/>
      <c r="N201" s="103"/>
      <c r="O201" s="43"/>
      <c r="P201" s="44"/>
    </row>
    <row r="202" spans="2:16" ht="13.9" customHeight="1" x14ac:dyDescent="0.25">
      <c r="B202" s="23"/>
      <c r="C202" s="24" t="s">
        <v>467</v>
      </c>
      <c r="D202" s="100" t="s">
        <v>468</v>
      </c>
      <c r="E202" s="100"/>
      <c r="F202" s="100"/>
      <c r="G202" s="100"/>
      <c r="H202" s="100"/>
      <c r="I202" s="100"/>
      <c r="J202" s="100"/>
      <c r="K202" s="100"/>
      <c r="L202" s="100"/>
      <c r="M202" s="100"/>
      <c r="N202" s="100"/>
      <c r="O202" s="100"/>
      <c r="P202" s="100"/>
    </row>
    <row r="203" spans="2:16" x14ac:dyDescent="0.25">
      <c r="B203" s="35"/>
      <c r="C203" s="36" t="s">
        <v>469</v>
      </c>
      <c r="D203" s="96" t="s">
        <v>470</v>
      </c>
      <c r="E203" s="96"/>
      <c r="F203" s="96"/>
      <c r="G203" s="96"/>
      <c r="H203" s="96"/>
      <c r="I203" s="96"/>
      <c r="J203" s="96"/>
      <c r="K203" s="96"/>
      <c r="L203" s="96"/>
      <c r="M203" s="96"/>
      <c r="N203" s="96"/>
      <c r="O203" s="96"/>
      <c r="P203" s="96"/>
    </row>
    <row r="204" spans="2:16" x14ac:dyDescent="0.25">
      <c r="B204" s="35"/>
      <c r="C204" s="36" t="s">
        <v>471</v>
      </c>
      <c r="D204" s="104" t="s">
        <v>472</v>
      </c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</row>
    <row r="205" spans="2:16" ht="45" x14ac:dyDescent="0.25">
      <c r="B205" s="26">
        <v>117</v>
      </c>
      <c r="C205" s="27" t="s">
        <v>473</v>
      </c>
      <c r="D205" s="28" t="s">
        <v>474</v>
      </c>
      <c r="E205" s="28" t="s">
        <v>475</v>
      </c>
      <c r="F205" s="29">
        <v>0.02</v>
      </c>
      <c r="G205" s="30">
        <v>1</v>
      </c>
      <c r="H205" s="45">
        <f>F205 * G205 * 24950.02481</f>
        <v>499.00049619999999</v>
      </c>
      <c r="I205" s="45">
        <f>F205 * G205 * 47362.619236</f>
        <v>947.25238472000001</v>
      </c>
      <c r="J205" s="45">
        <f>F205 * G205 * 0</f>
        <v>0</v>
      </c>
      <c r="K205" s="45">
        <f>F205 * G205 * 23752.423619</f>
        <v>475.04847238000002</v>
      </c>
      <c r="L205" s="45">
        <f>F205 * G205 * 10086.832105</f>
        <v>201.73664209999998</v>
      </c>
      <c r="M205" s="45">
        <f>F205 * G205 * 4990.004962</f>
        <v>99.800099240000009</v>
      </c>
      <c r="N205" s="46">
        <f>SUM(H205:M205)</f>
        <v>2222.8380946400002</v>
      </c>
      <c r="O205" s="93">
        <f t="shared" ref="O205:O209" si="65">N205*1.07*1.09*1.05</f>
        <v>2722.1208732675641</v>
      </c>
      <c r="P205" s="33">
        <f t="shared" ref="P205:P209" si="66">IF($P$9&gt;0,O205/$P$9/12,0)</f>
        <v>4.2792568591894044E-2</v>
      </c>
    </row>
    <row r="206" spans="2:16" ht="45" x14ac:dyDescent="0.25">
      <c r="B206" s="26">
        <v>118</v>
      </c>
      <c r="C206" s="27" t="s">
        <v>476</v>
      </c>
      <c r="D206" s="28" t="s">
        <v>477</v>
      </c>
      <c r="E206" s="28" t="s">
        <v>475</v>
      </c>
      <c r="F206" s="29">
        <v>0.02</v>
      </c>
      <c r="G206" s="30">
        <v>1</v>
      </c>
      <c r="H206" s="45">
        <f>F206 * G206 * 27724.533335</f>
        <v>554.49066670000002</v>
      </c>
      <c r="I206" s="45">
        <f>F206 * G206 * 56818.498776</f>
        <v>1136.36997552</v>
      </c>
      <c r="J206" s="45">
        <f>F206 * G206 * 0</f>
        <v>0</v>
      </c>
      <c r="K206" s="45">
        <f>F206 * G206 * 26393.755735</f>
        <v>527.87511470000004</v>
      </c>
      <c r="L206" s="45">
        <f>F206 * G206 * 11648.362724</f>
        <v>232.96725448000001</v>
      </c>
      <c r="M206" s="45">
        <f>F206 * G206 * 5544.906667</f>
        <v>110.89813334</v>
      </c>
      <c r="N206" s="46">
        <f>SUM(H206:M206)</f>
        <v>2562.6011447400006</v>
      </c>
      <c r="O206" s="93">
        <f t="shared" si="65"/>
        <v>3138.1998008657765</v>
      </c>
      <c r="P206" s="33">
        <f t="shared" si="66"/>
        <v>4.9333455965317491E-2</v>
      </c>
    </row>
    <row r="207" spans="2:16" ht="45" x14ac:dyDescent="0.25">
      <c r="B207" s="26">
        <v>119</v>
      </c>
      <c r="C207" s="27" t="s">
        <v>478</v>
      </c>
      <c r="D207" s="28" t="s">
        <v>479</v>
      </c>
      <c r="E207" s="28" t="s">
        <v>475</v>
      </c>
      <c r="F207" s="29">
        <v>0.02</v>
      </c>
      <c r="G207" s="30">
        <v>1</v>
      </c>
      <c r="H207" s="45">
        <f>F207 * G207 * 32574.785275</f>
        <v>651.49570549999999</v>
      </c>
      <c r="I207" s="45">
        <f>F207 * G207 * 81427.422388</f>
        <v>1628.5484477600003</v>
      </c>
      <c r="J207" s="45">
        <f>F207 * G207 * 0</f>
        <v>0</v>
      </c>
      <c r="K207" s="45">
        <f>F207 * G207 * 31011.195582</f>
        <v>620.22391163999998</v>
      </c>
      <c r="L207" s="45">
        <f>F207 * G207 * 15226.40734</f>
        <v>304.5281468</v>
      </c>
      <c r="M207" s="45">
        <f>F207 * G207 * 6514.957055</f>
        <v>130.29914109999999</v>
      </c>
      <c r="N207" s="46">
        <f>SUM(H207:M207)</f>
        <v>3335.0953528</v>
      </c>
      <c r="O207" s="93">
        <f t="shared" si="65"/>
        <v>4084.2077954691731</v>
      </c>
      <c r="P207" s="33">
        <f t="shared" si="66"/>
        <v>6.4204989553373157E-2</v>
      </c>
    </row>
    <row r="208" spans="2:16" ht="45" x14ac:dyDescent="0.25">
      <c r="B208" s="26">
        <v>120</v>
      </c>
      <c r="C208" s="27" t="s">
        <v>480</v>
      </c>
      <c r="D208" s="28" t="s">
        <v>481</v>
      </c>
      <c r="E208" s="28" t="s">
        <v>475</v>
      </c>
      <c r="F208" s="29">
        <v>0.03</v>
      </c>
      <c r="G208" s="30">
        <v>1</v>
      </c>
      <c r="H208" s="45">
        <f>F208 * G208 * 35924.74742</f>
        <v>1077.7424226000001</v>
      </c>
      <c r="I208" s="45">
        <f>F208 * G208 * 90907.986513</f>
        <v>2727.23959539</v>
      </c>
      <c r="J208" s="45">
        <f>F208 * G208 * 0</f>
        <v>0</v>
      </c>
      <c r="K208" s="45">
        <f>F208 * G208 * 34200.359544</f>
        <v>1026.0107863199999</v>
      </c>
      <c r="L208" s="45">
        <f>F208 * G208 * 16908.474815</f>
        <v>507.25424445000004</v>
      </c>
      <c r="M208" s="45">
        <f>F208 * G208 * 7184.949484</f>
        <v>215.54848451999999</v>
      </c>
      <c r="N208" s="46">
        <f>SUM(H208:M208)</f>
        <v>5553.7955332800002</v>
      </c>
      <c r="O208" s="93">
        <f t="shared" si="65"/>
        <v>6801.2613169876886</v>
      </c>
      <c r="P208" s="33">
        <f t="shared" si="66"/>
        <v>0.10691789783354853</v>
      </c>
    </row>
    <row r="209" spans="2:16" ht="45" x14ac:dyDescent="0.25">
      <c r="B209" s="26">
        <v>121</v>
      </c>
      <c r="C209" s="27" t="s">
        <v>482</v>
      </c>
      <c r="D209" s="28" t="s">
        <v>483</v>
      </c>
      <c r="E209" s="28" t="s">
        <v>475</v>
      </c>
      <c r="F209" s="29">
        <v>0.02</v>
      </c>
      <c r="G209" s="30">
        <v>1</v>
      </c>
      <c r="H209" s="45">
        <f>F209 * G209 * 45296.42066</f>
        <v>905.92841320000014</v>
      </c>
      <c r="I209" s="45">
        <f>F209 * G209 * 143028.89213</f>
        <v>2860.5778425999997</v>
      </c>
      <c r="J209" s="45">
        <f>F209 * G209 * 0</f>
        <v>0</v>
      </c>
      <c r="K209" s="45">
        <f>F209 * G209 * 43122.192468</f>
        <v>862.44384936000006</v>
      </c>
      <c r="L209" s="45">
        <f>F209 * G209 * 24301.988052</f>
        <v>486.03976104000003</v>
      </c>
      <c r="M209" s="45">
        <f>F209 * G209 * 9059.284132</f>
        <v>181.18568264000001</v>
      </c>
      <c r="N209" s="46">
        <f>SUM(H209:M209)</f>
        <v>5296.1755488399995</v>
      </c>
      <c r="O209" s="93">
        <f t="shared" si="65"/>
        <v>6485.7760197426978</v>
      </c>
      <c r="P209" s="33">
        <f t="shared" si="66"/>
        <v>0.10195837294445542</v>
      </c>
    </row>
    <row r="210" spans="2:16" x14ac:dyDescent="0.25">
      <c r="B210" s="35"/>
      <c r="C210" s="36" t="s">
        <v>484</v>
      </c>
      <c r="D210" s="104" t="s">
        <v>485</v>
      </c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2:16" ht="45" x14ac:dyDescent="0.25">
      <c r="B211" s="26">
        <v>122</v>
      </c>
      <c r="C211" s="27" t="s">
        <v>486</v>
      </c>
      <c r="D211" s="28" t="s">
        <v>487</v>
      </c>
      <c r="E211" s="28" t="s">
        <v>303</v>
      </c>
      <c r="F211" s="29">
        <v>0.03</v>
      </c>
      <c r="G211" s="30">
        <v>1</v>
      </c>
      <c r="H211" s="45">
        <f>F211 * G211 * 7490.2985</f>
        <v>224.70895499999997</v>
      </c>
      <c r="I211" s="45">
        <f>F211 * G211 * 37826.932816</f>
        <v>1134.80798448</v>
      </c>
      <c r="J211" s="45">
        <f>F211 * G211 * 0</f>
        <v>0</v>
      </c>
      <c r="K211" s="45">
        <f>F211 * G211 * 7130.764172</f>
        <v>213.92292516000001</v>
      </c>
      <c r="L211" s="45">
        <f>F211 * G211 * 5507.039526</f>
        <v>165.21118577999999</v>
      </c>
      <c r="M211" s="45">
        <f>F211 * G211 * 1498.0597</f>
        <v>44.941791000000002</v>
      </c>
      <c r="N211" s="46">
        <f>SUM(H211:M211)</f>
        <v>1783.59284142</v>
      </c>
      <c r="O211" s="93">
        <f t="shared" ref="O211:O213" si="67">N211*1.07*1.09*1.05</f>
        <v>2184.2145474955537</v>
      </c>
      <c r="P211" s="33">
        <f t="shared" ref="P211:P213" si="68">IF($P$9&gt;0,O211/$P$9/12,0)</f>
        <v>3.4336517441607775E-2</v>
      </c>
    </row>
    <row r="212" spans="2:16" ht="45" x14ac:dyDescent="0.25">
      <c r="B212" s="26">
        <v>123</v>
      </c>
      <c r="C212" s="27" t="s">
        <v>488</v>
      </c>
      <c r="D212" s="28" t="s">
        <v>489</v>
      </c>
      <c r="E212" s="28" t="s">
        <v>303</v>
      </c>
      <c r="F212" s="29">
        <v>7.0000000000000007E-2</v>
      </c>
      <c r="G212" s="30">
        <v>1</v>
      </c>
      <c r="H212" s="45">
        <f>F212 * G212 * 9109.8225</f>
        <v>637.68757500000004</v>
      </c>
      <c r="I212" s="45">
        <f>F212 * G212 * 37826.932816</f>
        <v>2647.8852971200004</v>
      </c>
      <c r="J212" s="45">
        <f>F212 * G212 * 0</f>
        <v>0</v>
      </c>
      <c r="K212" s="45">
        <f>F212 * G212 * 8672.55102</f>
        <v>607.0785714000001</v>
      </c>
      <c r="L212" s="45">
        <f>F212 * G212 * 5838.977166</f>
        <v>408.72840162</v>
      </c>
      <c r="M212" s="45">
        <f>F212 * G212 * 1821.9645</f>
        <v>127.53751500000001</v>
      </c>
      <c r="N212" s="46">
        <f>SUM(H212:M212)</f>
        <v>4428.9173601400007</v>
      </c>
      <c r="O212" s="93">
        <f t="shared" si="67"/>
        <v>5423.7186329878468</v>
      </c>
      <c r="P212" s="33">
        <f t="shared" si="68"/>
        <v>8.5262507592715961E-2</v>
      </c>
    </row>
    <row r="213" spans="2:16" ht="45" x14ac:dyDescent="0.25">
      <c r="B213" s="26">
        <v>124</v>
      </c>
      <c r="C213" s="27" t="s">
        <v>490</v>
      </c>
      <c r="D213" s="28" t="s">
        <v>491</v>
      </c>
      <c r="E213" s="28" t="s">
        <v>303</v>
      </c>
      <c r="F213" s="29">
        <v>0.05</v>
      </c>
      <c r="G213" s="30">
        <v>1</v>
      </c>
      <c r="H213" s="45">
        <f>F213 * G213 * 10729.3465</f>
        <v>536.46732499999996</v>
      </c>
      <c r="I213" s="45">
        <f>F213 * G213 * 37826.932816</f>
        <v>1891.3466408000002</v>
      </c>
      <c r="J213" s="45">
        <f>F213 * G213 * 0</f>
        <v>0</v>
      </c>
      <c r="K213" s="45">
        <f>F213 * G213 * 10214.337868</f>
        <v>510.71689340000006</v>
      </c>
      <c r="L213" s="45">
        <f>F213 * G213 * 6170.914804</f>
        <v>308.54574020000001</v>
      </c>
      <c r="M213" s="45">
        <f>F213 * G213 * 2145.8693</f>
        <v>107.293465</v>
      </c>
      <c r="N213" s="46">
        <f>SUM(H213:M213)</f>
        <v>3354.3700644000005</v>
      </c>
      <c r="O213" s="93">
        <f t="shared" si="67"/>
        <v>4107.8118964152072</v>
      </c>
      <c r="P213" s="33">
        <f t="shared" si="68"/>
        <v>6.4576053204037087E-2</v>
      </c>
    </row>
    <row r="214" spans="2:16" x14ac:dyDescent="0.25">
      <c r="B214" s="35"/>
      <c r="C214" s="36" t="s">
        <v>492</v>
      </c>
      <c r="D214" s="104" t="s">
        <v>493</v>
      </c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</row>
    <row r="215" spans="2:16" x14ac:dyDescent="0.25">
      <c r="B215" s="26">
        <v>125</v>
      </c>
      <c r="C215" s="27" t="s">
        <v>494</v>
      </c>
      <c r="D215" s="28" t="s">
        <v>495</v>
      </c>
      <c r="E215" s="28" t="s">
        <v>496</v>
      </c>
      <c r="F215" s="29">
        <v>0.02</v>
      </c>
      <c r="G215" s="30">
        <v>1</v>
      </c>
      <c r="H215" s="45">
        <f>F215 * G215 * 6544.78244</f>
        <v>130.8956488</v>
      </c>
      <c r="I215" s="45">
        <f>F215 * G215 * 6808.711391</f>
        <v>136.17422782</v>
      </c>
      <c r="J215" s="45">
        <f>F215 * G215 * 0</f>
        <v>0</v>
      </c>
      <c r="K215" s="45">
        <f>F215 * G215 * 6230.632883</f>
        <v>124.61265766000001</v>
      </c>
      <c r="L215" s="45">
        <f>F215 * G215 * 2056.333305</f>
        <v>41.126666100000001</v>
      </c>
      <c r="M215" s="45">
        <f>F215 * G215 * 1308.956488</f>
        <v>26.179129760000002</v>
      </c>
      <c r="N215" s="46">
        <f>SUM(H215:M215)</f>
        <v>458.98833014000007</v>
      </c>
      <c r="O215" s="93">
        <f t="shared" ref="O215:O217" si="69">N215*1.07*1.09*1.05</f>
        <v>562.08399391439627</v>
      </c>
      <c r="P215" s="33">
        <f t="shared" ref="P215:P217" si="70">IF($P$9&gt;0,O215/$P$9/12,0)</f>
        <v>8.8361314518392176E-3</v>
      </c>
    </row>
    <row r="216" spans="2:16" x14ac:dyDescent="0.25">
      <c r="B216" s="26">
        <v>126</v>
      </c>
      <c r="C216" s="27" t="s">
        <v>497</v>
      </c>
      <c r="D216" s="28" t="s">
        <v>498</v>
      </c>
      <c r="E216" s="28" t="s">
        <v>496</v>
      </c>
      <c r="F216" s="29">
        <v>0.03</v>
      </c>
      <c r="G216" s="30">
        <v>1</v>
      </c>
      <c r="H216" s="45">
        <f>F216 * G216 * 9486.51392</f>
        <v>284.59541759999996</v>
      </c>
      <c r="I216" s="45">
        <f>F216 * G216 * 14772.259248</f>
        <v>443.16777744000001</v>
      </c>
      <c r="J216" s="45">
        <f>F216 * G216 * 0</f>
        <v>0</v>
      </c>
      <c r="K216" s="45">
        <f>F216 * G216 * 9031.161252</f>
        <v>270.93483756000001</v>
      </c>
      <c r="L216" s="45">
        <f>F216 * G216 * 3495.443114</f>
        <v>104.86329342000001</v>
      </c>
      <c r="M216" s="45">
        <f>F216 * G216 * 1897.302784</f>
        <v>56.919083519999994</v>
      </c>
      <c r="N216" s="46">
        <f>SUM(H216:M216)</f>
        <v>1160.48040954</v>
      </c>
      <c r="O216" s="93">
        <f t="shared" si="69"/>
        <v>1421.1417167288273</v>
      </c>
      <c r="P216" s="33">
        <f t="shared" si="70"/>
        <v>2.2340780304483859E-2</v>
      </c>
    </row>
    <row r="217" spans="2:16" x14ac:dyDescent="0.25">
      <c r="B217" s="26">
        <v>127</v>
      </c>
      <c r="C217" s="27" t="s">
        <v>499</v>
      </c>
      <c r="D217" s="28" t="s">
        <v>500</v>
      </c>
      <c r="E217" s="28" t="s">
        <v>496</v>
      </c>
      <c r="F217" s="29">
        <v>0.03</v>
      </c>
      <c r="G217" s="30">
        <v>1</v>
      </c>
      <c r="H217" s="45">
        <f>F217 * G217 * 16190.9252</f>
        <v>485.727756</v>
      </c>
      <c r="I217" s="45">
        <f>F217 * G217 * 26940.047877</f>
        <v>808.20143630999996</v>
      </c>
      <c r="J217" s="45">
        <f>F217 * G217 * 0</f>
        <v>0</v>
      </c>
      <c r="K217" s="45">
        <f>F217 * G217 * 15413.76079</f>
        <v>462.41282369999999</v>
      </c>
      <c r="L217" s="45">
        <f>F217 * G217 * 6147.197056</f>
        <v>184.41591167999999</v>
      </c>
      <c r="M217" s="45">
        <f>F217 * G217 * 3238.18504</f>
        <v>97.145551199999986</v>
      </c>
      <c r="N217" s="46">
        <f>SUM(H217:M217)</f>
        <v>2037.9034788899999</v>
      </c>
      <c r="O217" s="93">
        <f t="shared" si="69"/>
        <v>2495.6471688008778</v>
      </c>
      <c r="P217" s="33">
        <f t="shared" si="70"/>
        <v>3.923233303151729E-2</v>
      </c>
    </row>
    <row r="218" spans="2:16" x14ac:dyDescent="0.25">
      <c r="B218" s="35"/>
      <c r="C218" s="36" t="s">
        <v>501</v>
      </c>
      <c r="D218" s="104" t="s">
        <v>502</v>
      </c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</row>
    <row r="219" spans="2:16" ht="45" x14ac:dyDescent="0.25">
      <c r="B219" s="26">
        <v>128</v>
      </c>
      <c r="C219" s="27" t="s">
        <v>503</v>
      </c>
      <c r="D219" s="28" t="s">
        <v>504</v>
      </c>
      <c r="E219" s="28" t="s">
        <v>505</v>
      </c>
      <c r="F219" s="29">
        <v>0.02</v>
      </c>
      <c r="G219" s="30">
        <v>1</v>
      </c>
      <c r="H219" s="45">
        <f>F219 * G219 * 26.317265</f>
        <v>0.52634530000000002</v>
      </c>
      <c r="I219" s="45">
        <f>F219 * G219 * 3.958512</f>
        <v>7.9170240000000003E-2</v>
      </c>
      <c r="J219" s="45">
        <f>F219 * G219 * 0</f>
        <v>0</v>
      </c>
      <c r="K219" s="45">
        <f>F219 * G219 * 25.054036</f>
        <v>0.50108072000000003</v>
      </c>
      <c r="L219" s="45">
        <f>F219 * G219 * 5.80963</f>
        <v>0.11619260000000001</v>
      </c>
      <c r="M219" s="45">
        <f>F219 * G219 * 5.263453</f>
        <v>0.10526906000000001</v>
      </c>
      <c r="N219" s="46">
        <f>SUM(H219:M219)</f>
        <v>1.32805792</v>
      </c>
      <c r="O219" s="93">
        <f t="shared" ref="O219:O221" si="71">N219*1.07*1.09*1.05</f>
        <v>1.6263596497008004</v>
      </c>
      <c r="P219" s="33">
        <f t="shared" ref="P219:P221" si="72">IF($P$9&gt;0,O219/$P$9/12,0)</f>
        <v>2.5566868667873993E-5</v>
      </c>
    </row>
    <row r="220" spans="2:16" ht="45" x14ac:dyDescent="0.25">
      <c r="B220" s="26">
        <v>129</v>
      </c>
      <c r="C220" s="27" t="s">
        <v>506</v>
      </c>
      <c r="D220" s="28" t="s">
        <v>507</v>
      </c>
      <c r="E220" s="28" t="s">
        <v>505</v>
      </c>
      <c r="F220" s="29">
        <v>0.03</v>
      </c>
      <c r="G220" s="30">
        <v>1</v>
      </c>
      <c r="H220" s="45">
        <f>F220 * G220 * 26.317265</f>
        <v>0.78951794999999991</v>
      </c>
      <c r="I220" s="45">
        <f>F220 * G220 * 8.142077</f>
        <v>0.24426231000000001</v>
      </c>
      <c r="J220" s="45">
        <f>F220 * G220 * 0</f>
        <v>0</v>
      </c>
      <c r="K220" s="45">
        <f>F220 * G220 * 25.054036</f>
        <v>0.75162107999999994</v>
      </c>
      <c r="L220" s="45">
        <f>F220 * G220 * 6.248905</f>
        <v>0.18746714999999997</v>
      </c>
      <c r="M220" s="45">
        <f>F220 * G220 * 5.263453</f>
        <v>0.15790359000000001</v>
      </c>
      <c r="N220" s="46">
        <f>SUM(H220:M220)</f>
        <v>2.1307720799999998</v>
      </c>
      <c r="O220" s="93">
        <f t="shared" si="71"/>
        <v>2.6093754507492002</v>
      </c>
      <c r="P220" s="33">
        <f t="shared" si="72"/>
        <v>4.1020176236389364E-5</v>
      </c>
    </row>
    <row r="221" spans="2:16" ht="30" x14ac:dyDescent="0.25">
      <c r="B221" s="26">
        <v>130</v>
      </c>
      <c r="C221" s="27" t="s">
        <v>508</v>
      </c>
      <c r="D221" s="28" t="s">
        <v>509</v>
      </c>
      <c r="E221" s="28" t="s">
        <v>505</v>
      </c>
      <c r="F221" s="29">
        <v>0.03</v>
      </c>
      <c r="G221" s="30">
        <v>1</v>
      </c>
      <c r="H221" s="45">
        <f>F221 * G221 * 26.317265</f>
        <v>0.78951794999999991</v>
      </c>
      <c r="I221" s="45">
        <f>F221 * G221 * 5.927076</f>
        <v>0.17781227999999999</v>
      </c>
      <c r="J221" s="45">
        <f>F221 * G221 * 0</f>
        <v>0</v>
      </c>
      <c r="K221" s="45">
        <f>F221 * G221 * 25.054036</f>
        <v>0.75162107999999994</v>
      </c>
      <c r="L221" s="45">
        <f>F221 * G221 * 6.01633</f>
        <v>0.18048989999999998</v>
      </c>
      <c r="M221" s="45">
        <f>F221 * G221 * 5.263453</f>
        <v>0.15790359000000001</v>
      </c>
      <c r="N221" s="46">
        <f>SUM(H221:M221)</f>
        <v>2.0573448000000001</v>
      </c>
      <c r="O221" s="93">
        <f t="shared" si="71"/>
        <v>2.5194553022520001</v>
      </c>
      <c r="P221" s="33">
        <f t="shared" si="72"/>
        <v>3.96066041352575E-5</v>
      </c>
    </row>
    <row r="222" spans="2:16" x14ac:dyDescent="0.25">
      <c r="B222" s="35"/>
      <c r="C222" s="36" t="s">
        <v>510</v>
      </c>
      <c r="D222" s="104" t="s">
        <v>511</v>
      </c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</row>
    <row r="223" spans="2:16" ht="45" x14ac:dyDescent="0.25">
      <c r="B223" s="26">
        <v>131</v>
      </c>
      <c r="C223" s="27" t="s">
        <v>512</v>
      </c>
      <c r="D223" s="28" t="s">
        <v>513</v>
      </c>
      <c r="E223" s="28" t="s">
        <v>514</v>
      </c>
      <c r="F223" s="29">
        <v>0.01</v>
      </c>
      <c r="G223" s="30">
        <v>1</v>
      </c>
      <c r="H223" s="45">
        <f>F223 * G223 * 38150.26096</f>
        <v>381.50260960000003</v>
      </c>
      <c r="I223" s="45">
        <f>F223 * G223 * 12894.596972</f>
        <v>128.94596971999999</v>
      </c>
      <c r="J223" s="45">
        <f>F223 * G223 * 4488.4112</f>
        <v>44.884111999999995</v>
      </c>
      <c r="K223" s="45">
        <f>F223 * G223 * 38086.027245</f>
        <v>380.86027244999997</v>
      </c>
      <c r="L223" s="45">
        <f>F223 * G223 * 9830.02612</f>
        <v>98.300261200000008</v>
      </c>
      <c r="M223" s="45">
        <f>F223 * G223 * 8001.266228</f>
        <v>80.012662280000001</v>
      </c>
      <c r="N223" s="46">
        <f t="shared" ref="N223:N228" si="73">SUM(H223:M223)</f>
        <v>1114.5058872500001</v>
      </c>
      <c r="O223" s="93">
        <f t="shared" ref="O223:O228" si="74">N223*1.07*1.09*1.05</f>
        <v>1364.8406271146589</v>
      </c>
      <c r="P223" s="33">
        <f t="shared" ref="P223:P228" si="75">IF($P$9&gt;0,O223/$P$9/12,0)</f>
        <v>2.145571004078883E-2</v>
      </c>
    </row>
    <row r="224" spans="2:16" ht="45" x14ac:dyDescent="0.25">
      <c r="B224" s="26">
        <v>132</v>
      </c>
      <c r="C224" s="27" t="s">
        <v>515</v>
      </c>
      <c r="D224" s="28" t="s">
        <v>516</v>
      </c>
      <c r="E224" s="28" t="s">
        <v>514</v>
      </c>
      <c r="F224" s="29">
        <v>0.01</v>
      </c>
      <c r="G224" s="30">
        <v>1</v>
      </c>
      <c r="H224" s="45">
        <f>F224 * G224 * 31902.598864</f>
        <v>319.02598863999998</v>
      </c>
      <c r="I224" s="45">
        <f>F224 * G224 * 17388.013653</f>
        <v>173.88013653000002</v>
      </c>
      <c r="J224" s="45">
        <f>F224 * G224 * 10323.34576</f>
        <v>103.23345760000001</v>
      </c>
      <c r="K224" s="45">
        <f>F224 * G224 * 34435.325385</f>
        <v>344.35325384999999</v>
      </c>
      <c r="L224" s="45">
        <f>F224 * G224 * 9875.174784</f>
        <v>98.751747840000007</v>
      </c>
      <c r="M224" s="45">
        <f>F224 * G224 * 7234.312056</f>
        <v>72.343120560000003</v>
      </c>
      <c r="N224" s="46">
        <f t="shared" si="73"/>
        <v>1111.5877050200002</v>
      </c>
      <c r="O224" s="93">
        <f t="shared" si="74"/>
        <v>1361.2669773830676</v>
      </c>
      <c r="P224" s="33">
        <f t="shared" si="75"/>
        <v>2.1399531179385454E-2</v>
      </c>
    </row>
    <row r="225" spans="2:16" ht="45" x14ac:dyDescent="0.25">
      <c r="B225" s="26">
        <v>133</v>
      </c>
      <c r="C225" s="27" t="s">
        <v>517</v>
      </c>
      <c r="D225" s="28" t="s">
        <v>518</v>
      </c>
      <c r="E225" s="28" t="s">
        <v>514</v>
      </c>
      <c r="F225" s="29">
        <v>0.01</v>
      </c>
      <c r="G225" s="30">
        <v>1</v>
      </c>
      <c r="H225" s="45">
        <f>F225 * G225 * 31902.598864</f>
        <v>319.02598863999998</v>
      </c>
      <c r="I225" s="45">
        <f>F225 * G225 * 24661.966138</f>
        <v>246.61966138</v>
      </c>
      <c r="J225" s="45">
        <f>F225 * G225 * 10323.34576</f>
        <v>103.23345760000001</v>
      </c>
      <c r="K225" s="45">
        <f>F225 * G225 * 34435.325385</f>
        <v>344.35325384999999</v>
      </c>
      <c r="L225" s="45">
        <f>F225 * G225 * 10638.939796</f>
        <v>106.38939796000001</v>
      </c>
      <c r="M225" s="45">
        <f>F225 * G225 * 7234.312056</f>
        <v>72.343120560000003</v>
      </c>
      <c r="N225" s="46">
        <f t="shared" si="73"/>
        <v>1191.9648799900001</v>
      </c>
      <c r="O225" s="93">
        <f t="shared" si="74"/>
        <v>1459.6980715089544</v>
      </c>
      <c r="P225" s="33">
        <f t="shared" si="75"/>
        <v>2.2946897936064806E-2</v>
      </c>
    </row>
    <row r="226" spans="2:16" ht="45" x14ac:dyDescent="0.25">
      <c r="B226" s="26">
        <v>134</v>
      </c>
      <c r="C226" s="27" t="s">
        <v>519</v>
      </c>
      <c r="D226" s="28" t="s">
        <v>520</v>
      </c>
      <c r="E226" s="28" t="s">
        <v>514</v>
      </c>
      <c r="F226" s="29">
        <v>0.01</v>
      </c>
      <c r="G226" s="30">
        <v>1</v>
      </c>
      <c r="H226" s="45">
        <f>F226 * G226 * 36609.53968</f>
        <v>366.0953968</v>
      </c>
      <c r="I226" s="45">
        <f>F226 * G226 * 26746.278237</f>
        <v>267.46278237000001</v>
      </c>
      <c r="J226" s="45">
        <f>F226 * G226 * 13016.39248</f>
        <v>130.16392480000002</v>
      </c>
      <c r="K226" s="45">
        <f>F226 * G226 * 39976.520328</f>
        <v>399.76520327999998</v>
      </c>
      <c r="L226" s="45">
        <f>F226 * G226 * 12216.616727</f>
        <v>122.16616727</v>
      </c>
      <c r="M226" s="45">
        <f>F226 * G226 * 8398.42864</f>
        <v>83.984286400000002</v>
      </c>
      <c r="N226" s="46">
        <f t="shared" si="73"/>
        <v>1369.6377609199999</v>
      </c>
      <c r="O226" s="93">
        <f t="shared" si="74"/>
        <v>1677.278946589046</v>
      </c>
      <c r="P226" s="33">
        <f t="shared" si="75"/>
        <v>2.6367335511995313E-2</v>
      </c>
    </row>
    <row r="227" spans="2:16" ht="45" x14ac:dyDescent="0.25">
      <c r="B227" s="26">
        <v>135</v>
      </c>
      <c r="C227" s="27" t="s">
        <v>521</v>
      </c>
      <c r="D227" s="28" t="s">
        <v>522</v>
      </c>
      <c r="E227" s="28" t="s">
        <v>514</v>
      </c>
      <c r="F227" s="29">
        <v>0.01</v>
      </c>
      <c r="G227" s="30">
        <v>1</v>
      </c>
      <c r="H227" s="45">
        <f>F227 * G227 * 32687.089</f>
        <v>326.87089000000003</v>
      </c>
      <c r="I227" s="45">
        <f>F227 * G227 * 37481.305144</f>
        <v>374.81305143999998</v>
      </c>
      <c r="J227" s="45">
        <f>F227 * G227 * 11043.03928</f>
        <v>110.43039280000001</v>
      </c>
      <c r="K227" s="45">
        <f>F227 * G227 * 35465.485907</f>
        <v>354.65485907000004</v>
      </c>
      <c r="L227" s="45">
        <f>F227 * G227 * 12251.07653</f>
        <v>122.5107653</v>
      </c>
      <c r="M227" s="45">
        <f>F227 * G227 * 7450.732333</f>
        <v>74.507323330000006</v>
      </c>
      <c r="N227" s="46">
        <f t="shared" si="73"/>
        <v>1363.78728194</v>
      </c>
      <c r="O227" s="93">
        <f t="shared" si="74"/>
        <v>1670.1143622729533</v>
      </c>
      <c r="P227" s="33">
        <f t="shared" si="75"/>
        <v>2.6254706066040263E-2</v>
      </c>
    </row>
    <row r="228" spans="2:16" ht="45" x14ac:dyDescent="0.25">
      <c r="B228" s="26">
        <v>136</v>
      </c>
      <c r="C228" s="27" t="s">
        <v>523</v>
      </c>
      <c r="D228" s="28" t="s">
        <v>524</v>
      </c>
      <c r="E228" s="28" t="s">
        <v>514</v>
      </c>
      <c r="F228" s="29">
        <v>0.01</v>
      </c>
      <c r="G228" s="30">
        <v>1</v>
      </c>
      <c r="H228" s="45">
        <f>F228 * G228 * 29026.135032</f>
        <v>290.26135031999996</v>
      </c>
      <c r="I228" s="45">
        <f>F228 * G228 * 35403.2367</f>
        <v>354.03236700000002</v>
      </c>
      <c r="J228" s="45">
        <f>F228 * G228 * 11043.03928</f>
        <v>110.43039280000001</v>
      </c>
      <c r="K228" s="45">
        <f>F228 * G228 * 31980.257729</f>
        <v>319.80257728999999</v>
      </c>
      <c r="L228" s="45">
        <f>F228 * G228 * 11282.530218</f>
        <v>112.82530217999999</v>
      </c>
      <c r="M228" s="45">
        <f>F228 * G228 * 6718.54154</f>
        <v>67.185415399999997</v>
      </c>
      <c r="N228" s="46">
        <f t="shared" si="73"/>
        <v>1254.5374049899999</v>
      </c>
      <c r="O228" s="93">
        <f t="shared" si="74"/>
        <v>1536.3253242118292</v>
      </c>
      <c r="P228" s="33">
        <f t="shared" si="75"/>
        <v>2.4151501669682277E-2</v>
      </c>
    </row>
    <row r="229" spans="2:16" x14ac:dyDescent="0.25">
      <c r="B229" s="35"/>
      <c r="C229" s="36" t="s">
        <v>525</v>
      </c>
      <c r="D229" s="96" t="s">
        <v>526</v>
      </c>
      <c r="E229" s="96"/>
      <c r="F229" s="96"/>
      <c r="G229" s="96"/>
      <c r="H229" s="96"/>
      <c r="I229" s="96"/>
      <c r="J229" s="96"/>
      <c r="K229" s="96"/>
      <c r="L229" s="96"/>
      <c r="M229" s="96"/>
      <c r="N229" s="96"/>
      <c r="O229" s="96"/>
      <c r="P229" s="96"/>
    </row>
    <row r="230" spans="2:16" x14ac:dyDescent="0.25">
      <c r="B230" s="35"/>
      <c r="C230" s="36" t="s">
        <v>527</v>
      </c>
      <c r="D230" s="104" t="s">
        <v>528</v>
      </c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</row>
    <row r="231" spans="2:16" ht="30" x14ac:dyDescent="0.25">
      <c r="B231" s="26">
        <v>137</v>
      </c>
      <c r="C231" s="27" t="s">
        <v>529</v>
      </c>
      <c r="D231" s="28" t="s">
        <v>530</v>
      </c>
      <c r="E231" s="28" t="s">
        <v>531</v>
      </c>
      <c r="F231" s="29">
        <v>1</v>
      </c>
      <c r="G231" s="30">
        <v>1</v>
      </c>
      <c r="H231" s="45">
        <f>F231 * G231 * 2383.03054</f>
        <v>2383.0305400000002</v>
      </c>
      <c r="I231" s="45">
        <f>F231 * G231 * 0</f>
        <v>0</v>
      </c>
      <c r="J231" s="45">
        <f>F231 * G231 * 0</f>
        <v>0</v>
      </c>
      <c r="K231" s="45">
        <f>F231 * G231 * 2268.645074</f>
        <v>2268.645074</v>
      </c>
      <c r="L231" s="45">
        <f>F231 * G231 * 488.425939</f>
        <v>488.42593900000003</v>
      </c>
      <c r="M231" s="45">
        <f>F231 * G231 * 476.606108</f>
        <v>476.60610800000001</v>
      </c>
      <c r="N231" s="46">
        <f>SUM(H231:M231)</f>
        <v>5616.7076609999995</v>
      </c>
      <c r="O231" s="93">
        <f t="shared" ref="O231" si="76">N231*1.07*1.09*1.05</f>
        <v>6878.3044522755154</v>
      </c>
      <c r="P231" s="33">
        <f>IF($P$9&gt;0,O231/$P$9/12,0)</f>
        <v>0.10812903936797326</v>
      </c>
    </row>
    <row r="232" spans="2:16" x14ac:dyDescent="0.25">
      <c r="B232" s="35"/>
      <c r="C232" s="36" t="s">
        <v>532</v>
      </c>
      <c r="D232" s="104" t="s">
        <v>533</v>
      </c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</row>
    <row r="233" spans="2:16" x14ac:dyDescent="0.25">
      <c r="B233" s="26">
        <v>138</v>
      </c>
      <c r="C233" s="27" t="s">
        <v>534</v>
      </c>
      <c r="D233" s="28" t="s">
        <v>535</v>
      </c>
      <c r="E233" s="28" t="s">
        <v>536</v>
      </c>
      <c r="F233" s="29">
        <v>2</v>
      </c>
      <c r="G233" s="30">
        <v>1</v>
      </c>
      <c r="H233" s="45">
        <f>F233 * G233 * 1677.488648</f>
        <v>3354.977296</v>
      </c>
      <c r="I233" s="45">
        <f>F233 * G233 * 4071.32424</f>
        <v>8142.6484799999998</v>
      </c>
      <c r="J233" s="45">
        <f>F233 * G233 * 0</f>
        <v>0</v>
      </c>
      <c r="K233" s="45">
        <f>F233 * G233 * 1596.969193</f>
        <v>3193.9383859999998</v>
      </c>
      <c r="L233" s="45">
        <f>F233 * G233 * 771.307118</f>
        <v>1542.6142359999999</v>
      </c>
      <c r="M233" s="45">
        <f>F233 * G233 * 335.49773</f>
        <v>670.99545999999998</v>
      </c>
      <c r="N233" s="46">
        <f>SUM(H233:M233)</f>
        <v>16905.173857999998</v>
      </c>
      <c r="O233" s="93">
        <f t="shared" ref="O233:O234" si="77">N233*1.07*1.09*1.05</f>
        <v>20702.329484114674</v>
      </c>
      <c r="P233" s="33">
        <f t="shared" ref="P233:P234" si="78">IF($P$9&gt;0,O233/$P$9/12,0)</f>
        <v>0.32544692014265664</v>
      </c>
    </row>
    <row r="234" spans="2:16" x14ac:dyDescent="0.25">
      <c r="B234" s="26">
        <v>139</v>
      </c>
      <c r="C234" s="27" t="s">
        <v>537</v>
      </c>
      <c r="D234" s="28" t="s">
        <v>538</v>
      </c>
      <c r="E234" s="28" t="s">
        <v>536</v>
      </c>
      <c r="F234" s="29">
        <v>2</v>
      </c>
      <c r="G234" s="30">
        <v>1</v>
      </c>
      <c r="H234" s="45">
        <f>F234 * G234 * 1568.170778</f>
        <v>3136.3415559999999</v>
      </c>
      <c r="I234" s="45">
        <f>F234 * G234 * 12597.38568</f>
        <v>25194.771359999999</v>
      </c>
      <c r="J234" s="45">
        <f>F234 * G234 * 0</f>
        <v>0</v>
      </c>
      <c r="K234" s="45">
        <f>F234 * G234 * 1492.898581</f>
        <v>2985.7971619999998</v>
      </c>
      <c r="L234" s="45">
        <f>F234 * G234 * 1644.137779</f>
        <v>3288.2755579999998</v>
      </c>
      <c r="M234" s="45">
        <f>F234 * G234 * 313.634156</f>
        <v>627.26831200000004</v>
      </c>
      <c r="N234" s="46">
        <f>SUM(H234:M234)</f>
        <v>35232.453947999995</v>
      </c>
      <c r="O234" s="93">
        <f t="shared" si="77"/>
        <v>43146.19159153002</v>
      </c>
      <c r="P234" s="33">
        <f t="shared" si="78"/>
        <v>0.67827126315050645</v>
      </c>
    </row>
    <row r="235" spans="2:16" x14ac:dyDescent="0.25">
      <c r="B235" s="35"/>
      <c r="C235" s="36" t="s">
        <v>539</v>
      </c>
      <c r="D235" s="96" t="s">
        <v>540</v>
      </c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</row>
    <row r="236" spans="2:16" x14ac:dyDescent="0.25">
      <c r="B236" s="35"/>
      <c r="C236" s="36" t="s">
        <v>541</v>
      </c>
      <c r="D236" s="104" t="s">
        <v>542</v>
      </c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2:16" ht="30" x14ac:dyDescent="0.25">
      <c r="B237" s="26">
        <v>140</v>
      </c>
      <c r="C237" s="27" t="s">
        <v>543</v>
      </c>
      <c r="D237" s="28" t="s">
        <v>544</v>
      </c>
      <c r="E237" s="28" t="s">
        <v>545</v>
      </c>
      <c r="F237" s="29">
        <v>1</v>
      </c>
      <c r="G237" s="30">
        <v>1</v>
      </c>
      <c r="H237" s="45">
        <f>F237 * G237 * 3995.6656</f>
        <v>3995.6655999999998</v>
      </c>
      <c r="I237" s="45">
        <f>F237 * G237 * 0</f>
        <v>0</v>
      </c>
      <c r="J237" s="45">
        <f>F237 * G237 * 0</f>
        <v>0</v>
      </c>
      <c r="K237" s="45">
        <f>F237 * G237 * 3803.873651</f>
        <v>3803.8736509999999</v>
      </c>
      <c r="L237" s="45">
        <f>F237 * G237 * 818.951621</f>
        <v>818.95162100000005</v>
      </c>
      <c r="M237" s="45">
        <f>F237 * G237 * 799.13312</f>
        <v>799.13311999999996</v>
      </c>
      <c r="N237" s="46">
        <f>SUM(H237:M237)</f>
        <v>9417.6239920000007</v>
      </c>
      <c r="O237" s="93">
        <f t="shared" ref="O237" si="79">N237*1.07*1.09*1.05</f>
        <v>11532.963604963083</v>
      </c>
      <c r="P237" s="33">
        <f>IF($P$9&gt;0,O237/$P$9/12,0)</f>
        <v>0.18130169787089045</v>
      </c>
    </row>
    <row r="238" spans="2:16" x14ac:dyDescent="0.25">
      <c r="B238" s="35"/>
      <c r="C238" s="36" t="s">
        <v>546</v>
      </c>
      <c r="D238" s="104" t="s">
        <v>547</v>
      </c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2:16" ht="30" x14ac:dyDescent="0.25">
      <c r="B239" s="26">
        <v>141</v>
      </c>
      <c r="C239" s="27" t="s">
        <v>548</v>
      </c>
      <c r="D239" s="28" t="s">
        <v>549</v>
      </c>
      <c r="E239" s="28" t="s">
        <v>550</v>
      </c>
      <c r="F239" s="29">
        <v>1</v>
      </c>
      <c r="G239" s="30">
        <v>1</v>
      </c>
      <c r="H239" s="45">
        <f>F239 * G239 * 60.267438</f>
        <v>60.267437999999999</v>
      </c>
      <c r="I239" s="45">
        <f>F239 * G239 * 0</f>
        <v>0</v>
      </c>
      <c r="J239" s="45">
        <f>F239 * G239 * 0</f>
        <v>0</v>
      </c>
      <c r="K239" s="45">
        <f>F239 * G239 * 57.374601</f>
        <v>57.374600999999998</v>
      </c>
      <c r="L239" s="45">
        <f>F239 * G239 * 12.352414</f>
        <v>12.352414</v>
      </c>
      <c r="M239" s="45">
        <f>F239 * G239 * 12.053488</f>
        <v>12.053488</v>
      </c>
      <c r="N239" s="46">
        <f>SUM(H239:M239)</f>
        <v>142.04794099999998</v>
      </c>
      <c r="O239" s="93">
        <f t="shared" ref="O239:O240" si="80">N239*1.07*1.09*1.05</f>
        <v>173.95403926771502</v>
      </c>
      <c r="P239" s="33">
        <f t="shared" ref="P239:P240" si="81">IF($P$9&gt;0,O239/$P$9/12,0)</f>
        <v>2.7346104393465858E-3</v>
      </c>
    </row>
    <row r="240" spans="2:16" x14ac:dyDescent="0.25">
      <c r="B240" s="26">
        <v>142</v>
      </c>
      <c r="C240" s="27" t="s">
        <v>551</v>
      </c>
      <c r="D240" s="28" t="s">
        <v>552</v>
      </c>
      <c r="E240" s="28" t="s">
        <v>553</v>
      </c>
      <c r="F240" s="29">
        <v>1</v>
      </c>
      <c r="G240" s="30">
        <v>1</v>
      </c>
      <c r="H240" s="45">
        <f>F240 * G240 * 27470.201</f>
        <v>27470.201000000001</v>
      </c>
      <c r="I240" s="45">
        <f>F240 * G240 * 0</f>
        <v>0</v>
      </c>
      <c r="J240" s="45">
        <f>F240 * G240 * 0</f>
        <v>0</v>
      </c>
      <c r="K240" s="45">
        <f>F240 * G240 * 26151.631352</f>
        <v>26151.631352</v>
      </c>
      <c r="L240" s="45">
        <f>F240 * G240 * 5630.292397</f>
        <v>5630.2923970000002</v>
      </c>
      <c r="M240" s="45">
        <f>F240 * G240 * 5494.0402</f>
        <v>5494.0402000000004</v>
      </c>
      <c r="N240" s="46">
        <f>SUM(H240:M240)</f>
        <v>64746.164948999998</v>
      </c>
      <c r="O240" s="93">
        <f t="shared" si="80"/>
        <v>79289.124789019639</v>
      </c>
      <c r="P240" s="33">
        <f t="shared" si="81"/>
        <v>1.246449172939377</v>
      </c>
    </row>
    <row r="241" spans="2:16" x14ac:dyDescent="0.25">
      <c r="B241" s="35"/>
      <c r="C241" s="36" t="s">
        <v>554</v>
      </c>
      <c r="D241" s="104" t="s">
        <v>555</v>
      </c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</row>
    <row r="242" spans="2:16" ht="30" x14ac:dyDescent="0.25">
      <c r="B242" s="26">
        <v>143</v>
      </c>
      <c r="C242" s="27" t="s">
        <v>556</v>
      </c>
      <c r="D242" s="28" t="s">
        <v>557</v>
      </c>
      <c r="E242" s="28" t="s">
        <v>558</v>
      </c>
      <c r="F242" s="29">
        <v>1</v>
      </c>
      <c r="G242" s="30">
        <v>1</v>
      </c>
      <c r="H242" s="45">
        <f>F242 * G242 * 566.195091</f>
        <v>566.19509100000005</v>
      </c>
      <c r="I242" s="45">
        <f>F242 * G242 * 6605.29152</f>
        <v>6605.2915199999998</v>
      </c>
      <c r="J242" s="45">
        <f>F242 * G242 * 0</f>
        <v>0</v>
      </c>
      <c r="K242" s="45">
        <f>F242 * G242 * 539.017726</f>
        <v>539.01772600000004</v>
      </c>
      <c r="L242" s="45">
        <f>F242 * G242 * 809.602956</f>
        <v>809.60295599999995</v>
      </c>
      <c r="M242" s="45">
        <f>F242 * G242 * 113.239018</f>
        <v>113.239018</v>
      </c>
      <c r="N242" s="46">
        <f>SUM(H242:M242)</f>
        <v>8633.3463110000012</v>
      </c>
      <c r="O242" s="93">
        <f t="shared" ref="O242" si="82">N242*1.07*1.09*1.05</f>
        <v>10572.525392645268</v>
      </c>
      <c r="P242" s="33">
        <f>IF($P$9&gt;0,O242/$P$9/12,0)</f>
        <v>0.16620331686859818</v>
      </c>
    </row>
    <row r="243" spans="2:16" x14ac:dyDescent="0.25">
      <c r="B243" s="35"/>
      <c r="C243" s="36" t="s">
        <v>559</v>
      </c>
      <c r="D243" s="104" t="s">
        <v>560</v>
      </c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</row>
    <row r="244" spans="2:16" ht="30" x14ac:dyDescent="0.25">
      <c r="B244" s="26">
        <v>144</v>
      </c>
      <c r="C244" s="27" t="s">
        <v>561</v>
      </c>
      <c r="D244" s="28" t="s">
        <v>562</v>
      </c>
      <c r="E244" s="28" t="s">
        <v>563</v>
      </c>
      <c r="F244" s="29">
        <v>1</v>
      </c>
      <c r="G244" s="30">
        <v>1</v>
      </c>
      <c r="H244" s="45">
        <f>F244 * G244 * 3546.15322</f>
        <v>3546.1532200000001</v>
      </c>
      <c r="I244" s="45">
        <f>F244 * G244 * 0</f>
        <v>0</v>
      </c>
      <c r="J244" s="45">
        <f>F244 * G244 * 0</f>
        <v>0</v>
      </c>
      <c r="K244" s="45">
        <f>F244 * G244 * 3375.937865</f>
        <v>3375.9378649999999</v>
      </c>
      <c r="L244" s="45">
        <f>F244 * G244 * 726.819564</f>
        <v>726.81956400000001</v>
      </c>
      <c r="M244" s="45">
        <f>F244 * G244 * 709.230644</f>
        <v>709.23064399999998</v>
      </c>
      <c r="N244" s="46">
        <f>SUM(H244:M244)</f>
        <v>8358.1412930000006</v>
      </c>
      <c r="O244" s="93">
        <f t="shared" ref="O244" si="83">N244*1.07*1.09*1.05</f>
        <v>10235.505199527197</v>
      </c>
      <c r="P244" s="33">
        <f>IF($P$9&gt;0,O244/$P$9/12,0)</f>
        <v>0.16090525686234039</v>
      </c>
    </row>
    <row r="245" spans="2:16" x14ac:dyDescent="0.25">
      <c r="B245" s="35"/>
      <c r="C245" s="36" t="s">
        <v>564</v>
      </c>
      <c r="D245" s="104" t="s">
        <v>565</v>
      </c>
      <c r="E245" s="104"/>
      <c r="F245" s="10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</row>
    <row r="246" spans="2:16" ht="30" x14ac:dyDescent="0.25">
      <c r="B246" s="26">
        <v>145</v>
      </c>
      <c r="C246" s="27" t="s">
        <v>566</v>
      </c>
      <c r="D246" s="28" t="s">
        <v>567</v>
      </c>
      <c r="E246" s="28" t="s">
        <v>545</v>
      </c>
      <c r="F246" s="29">
        <v>1</v>
      </c>
      <c r="G246" s="30">
        <v>1</v>
      </c>
      <c r="H246" s="45">
        <f>F246 * G246 * 1994.369798</f>
        <v>1994.3697979999999</v>
      </c>
      <c r="I246" s="45">
        <f>F246 * G246 * 72116.55612</f>
        <v>72116.556119999994</v>
      </c>
      <c r="J246" s="45">
        <f>F246 * G246 * 0</f>
        <v>0</v>
      </c>
      <c r="K246" s="45">
        <f>F246 * G246 * 1898.640048</f>
        <v>1898.640048</v>
      </c>
      <c r="L246" s="45">
        <f>F246 * G246 * 7981.004427</f>
        <v>7981.0044269999999</v>
      </c>
      <c r="M246" s="45">
        <f>F246 * G246 * 398.87396</f>
        <v>398.87396000000001</v>
      </c>
      <c r="N246" s="46">
        <f>SUM(H246:M246)</f>
        <v>84389.444352999999</v>
      </c>
      <c r="O246" s="93">
        <f t="shared" ref="O246:O247" si="84">N246*1.07*1.09*1.05</f>
        <v>103344.57939634912</v>
      </c>
      <c r="P246" s="33">
        <f t="shared" ref="P246:P247" si="85">IF($P$9&gt;0,O246/$P$9/12,0)</f>
        <v>1.6246082405261448</v>
      </c>
    </row>
    <row r="247" spans="2:16" ht="30" x14ac:dyDescent="0.25">
      <c r="B247" s="26">
        <v>146</v>
      </c>
      <c r="C247" s="27" t="s">
        <v>568</v>
      </c>
      <c r="D247" s="28" t="s">
        <v>569</v>
      </c>
      <c r="E247" s="28" t="s">
        <v>570</v>
      </c>
      <c r="F247" s="29">
        <v>0.01</v>
      </c>
      <c r="G247" s="30">
        <v>1</v>
      </c>
      <c r="H247" s="45">
        <f>F247 * G247 * 19079.1612</f>
        <v>190.79161199999999</v>
      </c>
      <c r="I247" s="45">
        <f>F247 * G247 * 316757.617945</f>
        <v>3167.5761794499999</v>
      </c>
      <c r="J247" s="45">
        <f>F247 * G247 * 0</f>
        <v>0</v>
      </c>
      <c r="K247" s="45">
        <f>F247 * G247 * 18163.361462</f>
        <v>181.63361462</v>
      </c>
      <c r="L247" s="45">
        <f>F247 * G247 * 37170.014764</f>
        <v>371.70014764000001</v>
      </c>
      <c r="M247" s="45">
        <f>F247 * G247 * 3815.83224</f>
        <v>38.158322400000003</v>
      </c>
      <c r="N247" s="46">
        <f>SUM(H247:M247)</f>
        <v>3949.8598761100002</v>
      </c>
      <c r="O247" s="93">
        <f t="shared" si="84"/>
        <v>4837.0576521824478</v>
      </c>
      <c r="P247" s="33">
        <f t="shared" si="85"/>
        <v>7.6040018427064829E-2</v>
      </c>
    </row>
    <row r="248" spans="2:16" x14ac:dyDescent="0.25">
      <c r="B248" s="35"/>
      <c r="C248" s="36" t="s">
        <v>571</v>
      </c>
      <c r="D248" s="96" t="s">
        <v>572</v>
      </c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</row>
    <row r="249" spans="2:16" x14ac:dyDescent="0.25">
      <c r="B249" s="35"/>
      <c r="C249" s="36" t="s">
        <v>573</v>
      </c>
      <c r="D249" s="104" t="s">
        <v>574</v>
      </c>
      <c r="E249" s="104"/>
      <c r="F249" s="10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2:16" ht="45" x14ac:dyDescent="0.25">
      <c r="B250" s="26">
        <v>147</v>
      </c>
      <c r="C250" s="27" t="s">
        <v>575</v>
      </c>
      <c r="D250" s="28" t="s">
        <v>576</v>
      </c>
      <c r="E250" s="28" t="s">
        <v>94</v>
      </c>
      <c r="F250" s="29">
        <v>0.01</v>
      </c>
      <c r="G250" s="30">
        <v>1</v>
      </c>
      <c r="H250" s="45">
        <f>F250 * G250 * 9771.467841</f>
        <v>97.714678410000005</v>
      </c>
      <c r="I250" s="45">
        <f>F250 * G250 * 2131.087483</f>
        <v>21.310874829999999</v>
      </c>
      <c r="J250" s="45">
        <f>F250 * G250 * 0</f>
        <v>0</v>
      </c>
      <c r="K250" s="45">
        <f>F250 * G250 * 9302.437385</f>
        <v>93.024373849999989</v>
      </c>
      <c r="L250" s="45">
        <f>F250 * G250 * 2226.524235</f>
        <v>22.265242349999998</v>
      </c>
      <c r="M250" s="45">
        <f>F250 * G250 * 1954.293568</f>
        <v>19.542935679999999</v>
      </c>
      <c r="N250" s="46">
        <f>SUM(H250:M250)</f>
        <v>253.85810511999998</v>
      </c>
      <c r="O250" s="93">
        <f t="shared" ref="O250" si="86">N250*1.07*1.09*1.05</f>
        <v>310.87844340152884</v>
      </c>
      <c r="P250" s="33">
        <f>IF($P$9&gt;0,O250/$P$9/12,0)</f>
        <v>4.8871037446005291E-3</v>
      </c>
    </row>
    <row r="251" spans="2:16" x14ac:dyDescent="0.25">
      <c r="B251" s="35"/>
      <c r="C251" s="36" t="s">
        <v>577</v>
      </c>
      <c r="D251" s="96" t="s">
        <v>578</v>
      </c>
      <c r="E251" s="96"/>
      <c r="F251" s="96"/>
      <c r="G251" s="96"/>
      <c r="H251" s="96"/>
      <c r="I251" s="96"/>
      <c r="J251" s="96"/>
      <c r="K251" s="96"/>
      <c r="L251" s="96"/>
      <c r="M251" s="96"/>
      <c r="N251" s="96"/>
      <c r="O251" s="96"/>
      <c r="P251" s="96"/>
    </row>
    <row r="252" spans="2:16" ht="30" x14ac:dyDescent="0.25">
      <c r="B252" s="26">
        <v>148</v>
      </c>
      <c r="C252" s="27" t="s">
        <v>579</v>
      </c>
      <c r="D252" s="28" t="s">
        <v>580</v>
      </c>
      <c r="E252" s="28" t="s">
        <v>36</v>
      </c>
      <c r="F252" s="29">
        <v>0.01</v>
      </c>
      <c r="G252" s="30">
        <v>1</v>
      </c>
      <c r="H252" s="45">
        <f>F252 * G252 * 17434.50885</f>
        <v>174.34508849999997</v>
      </c>
      <c r="I252" s="45">
        <f>F252 * G252 * 16826.694664</f>
        <v>168.26694663999999</v>
      </c>
      <c r="J252" s="45">
        <f>F252 * G252 * 0</f>
        <v>0</v>
      </c>
      <c r="K252" s="45">
        <f>F252 * G252 * 16597.652425</f>
        <v>165.97652425000001</v>
      </c>
      <c r="L252" s="45">
        <f>F252 * G252 * 5340.179874</f>
        <v>53.401798740000004</v>
      </c>
      <c r="M252" s="45">
        <f>F252 * G252 * 3486.90177</f>
        <v>34.869017700000001</v>
      </c>
      <c r="N252" s="46">
        <f>SUM(H252:M252)</f>
        <v>596.85937582999998</v>
      </c>
      <c r="O252" s="93">
        <f t="shared" ref="O252:O256" si="87">N252*1.07*1.09*1.05</f>
        <v>730.92294453205557</v>
      </c>
      <c r="P252" s="33">
        <f t="shared" ref="P252:P256" si="88">IF($P$9&gt;0,O252/$P$9/12,0)</f>
        <v>1.14903311408548E-2</v>
      </c>
    </row>
    <row r="253" spans="2:16" ht="30" x14ac:dyDescent="0.25">
      <c r="B253" s="26">
        <v>149</v>
      </c>
      <c r="C253" s="27" t="s">
        <v>581</v>
      </c>
      <c r="D253" s="28" t="s">
        <v>582</v>
      </c>
      <c r="E253" s="28" t="s">
        <v>36</v>
      </c>
      <c r="F253" s="29">
        <v>0.01</v>
      </c>
      <c r="G253" s="30">
        <v>1</v>
      </c>
      <c r="H253" s="45">
        <f>F253 * G253 * 22169.80755</f>
        <v>221.69807550000002</v>
      </c>
      <c r="I253" s="45">
        <f>F253 * G253 * 36609.903529</f>
        <v>366.09903529000002</v>
      </c>
      <c r="J253" s="45">
        <f>F253 * G253 * 0</f>
        <v>0</v>
      </c>
      <c r="K253" s="45">
        <f>F253 * G253 * 21105.656788</f>
        <v>211.05656788000002</v>
      </c>
      <c r="L253" s="45">
        <f>F253 * G253 * 8387.963626</f>
        <v>83.879636260000012</v>
      </c>
      <c r="M253" s="45">
        <f>F253 * G253 * 4433.96151</f>
        <v>44.339615100000003</v>
      </c>
      <c r="N253" s="46">
        <f>SUM(H253:M253)</f>
        <v>927.07293002999995</v>
      </c>
      <c r="O253" s="93">
        <f t="shared" si="87"/>
        <v>1135.3074162086887</v>
      </c>
      <c r="P253" s="33">
        <f t="shared" si="88"/>
        <v>1.7847378108040757E-2</v>
      </c>
    </row>
    <row r="254" spans="2:16" ht="30" x14ac:dyDescent="0.25">
      <c r="B254" s="26">
        <v>150</v>
      </c>
      <c r="C254" s="27" t="s">
        <v>583</v>
      </c>
      <c r="D254" s="28" t="s">
        <v>584</v>
      </c>
      <c r="E254" s="28" t="s">
        <v>36</v>
      </c>
      <c r="F254" s="29">
        <v>0.01</v>
      </c>
      <c r="G254" s="30">
        <v>1</v>
      </c>
      <c r="H254" s="45">
        <f>F254 * G254 * 28627.03305</f>
        <v>286.2703305</v>
      </c>
      <c r="I254" s="45">
        <f>F254 * G254 * 98181.586884</f>
        <v>981.81586884000001</v>
      </c>
      <c r="J254" s="45">
        <f>F254 * G254 * 0</f>
        <v>0</v>
      </c>
      <c r="K254" s="45">
        <f>F254 * G254 * 27252.935464</f>
        <v>272.52935464000001</v>
      </c>
      <c r="L254" s="45">
        <f>F254 * G254 * 16176.463317</f>
        <v>161.76463317</v>
      </c>
      <c r="M254" s="45">
        <f>F254 * G254 * 5725.40661</f>
        <v>57.254066100000003</v>
      </c>
      <c r="N254" s="46">
        <f>SUM(H254:M254)</f>
        <v>1759.63425325</v>
      </c>
      <c r="O254" s="93">
        <f t="shared" si="87"/>
        <v>2154.8745010437492</v>
      </c>
      <c r="P254" s="33">
        <f t="shared" si="88"/>
        <v>3.3875282981886266E-2</v>
      </c>
    </row>
    <row r="255" spans="2:16" x14ac:dyDescent="0.25">
      <c r="B255" s="26">
        <v>151</v>
      </c>
      <c r="C255" s="27" t="s">
        <v>585</v>
      </c>
      <c r="D255" s="28" t="s">
        <v>586</v>
      </c>
      <c r="E255" s="28" t="s">
        <v>36</v>
      </c>
      <c r="F255" s="29">
        <v>0.01</v>
      </c>
      <c r="G255" s="30">
        <v>1</v>
      </c>
      <c r="H255" s="45">
        <f>F255 * G255 * 66294.1818</f>
        <v>662.94181800000013</v>
      </c>
      <c r="I255" s="45">
        <f>F255 * G255 * 210685.820044</f>
        <v>2106.85820044</v>
      </c>
      <c r="J255" s="45">
        <f>F255 * G255 * 0</f>
        <v>0</v>
      </c>
      <c r="K255" s="45">
        <f>F255 * G255 * 63112.061074</f>
        <v>631.12061073999996</v>
      </c>
      <c r="L255" s="45">
        <f>F255 * G255 * 35709.666607</f>
        <v>357.09666607000003</v>
      </c>
      <c r="M255" s="45">
        <f>F255 * G255 * 13258.83636</f>
        <v>132.58836360000001</v>
      </c>
      <c r="N255" s="46">
        <f>SUM(H255:M255)</f>
        <v>3890.6056588500001</v>
      </c>
      <c r="O255" s="93">
        <f t="shared" si="87"/>
        <v>4764.4940489125938</v>
      </c>
      <c r="P255" s="33">
        <f t="shared" si="88"/>
        <v>7.48992964992862E-2</v>
      </c>
    </row>
    <row r="256" spans="2:16" x14ac:dyDescent="0.25">
      <c r="B256" s="26">
        <v>152</v>
      </c>
      <c r="C256" s="27" t="s">
        <v>587</v>
      </c>
      <c r="D256" s="28" t="s">
        <v>588</v>
      </c>
      <c r="E256" s="28" t="s">
        <v>36</v>
      </c>
      <c r="F256" s="29">
        <v>0.01</v>
      </c>
      <c r="G256" s="30">
        <v>1</v>
      </c>
      <c r="H256" s="45">
        <f>F256 * G256 * 90831.6387</f>
        <v>908.31638699999996</v>
      </c>
      <c r="I256" s="45">
        <f>F256 * G256 * 502096.930816</f>
        <v>5020.9693081599999</v>
      </c>
      <c r="J256" s="45">
        <f>F256 * G256 * 0</f>
        <v>0</v>
      </c>
      <c r="K256" s="45">
        <f>F256 * G256 * 86471.720042</f>
        <v>864.71720042000004</v>
      </c>
      <c r="L256" s="45">
        <f>F256 * G256 * 71337.030404</f>
        <v>713.37030404000006</v>
      </c>
      <c r="M256" s="45">
        <f>F256 * G256 * 18166.32774</f>
        <v>181.6632774</v>
      </c>
      <c r="N256" s="46">
        <f>SUM(H256:M256)</f>
        <v>7689.0364770200003</v>
      </c>
      <c r="O256" s="93">
        <f t="shared" si="87"/>
        <v>9416.1094053058478</v>
      </c>
      <c r="P256" s="33">
        <f t="shared" si="88"/>
        <v>0.14802410559809231</v>
      </c>
    </row>
    <row r="257" spans="2:16" ht="13.9" customHeight="1" x14ac:dyDescent="0.25">
      <c r="B257" s="23"/>
      <c r="C257" s="24" t="s">
        <v>589</v>
      </c>
      <c r="D257" s="100" t="s">
        <v>590</v>
      </c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</row>
    <row r="258" spans="2:16" x14ac:dyDescent="0.25">
      <c r="B258" s="35"/>
      <c r="C258" s="36" t="s">
        <v>591</v>
      </c>
      <c r="D258" s="96" t="s">
        <v>592</v>
      </c>
      <c r="E258" s="96"/>
      <c r="F258" s="96"/>
      <c r="G258" s="96"/>
      <c r="H258" s="96"/>
      <c r="I258" s="96"/>
      <c r="J258" s="96"/>
      <c r="K258" s="96"/>
      <c r="L258" s="96"/>
      <c r="M258" s="96"/>
      <c r="N258" s="96"/>
      <c r="O258" s="96"/>
      <c r="P258" s="96"/>
    </row>
    <row r="259" spans="2:16" ht="45" x14ac:dyDescent="0.25">
      <c r="B259" s="26">
        <v>153</v>
      </c>
      <c r="C259" s="27" t="s">
        <v>593</v>
      </c>
      <c r="D259" s="28" t="s">
        <v>594</v>
      </c>
      <c r="E259" s="28" t="s">
        <v>475</v>
      </c>
      <c r="F259" s="29">
        <v>0.02</v>
      </c>
      <c r="G259" s="30">
        <v>1</v>
      </c>
      <c r="H259" s="45">
        <f>F259 * G259 * 13566.6558</f>
        <v>271.33311600000002</v>
      </c>
      <c r="I259" s="45">
        <f>F259 * G259 * 19890.975668</f>
        <v>397.81951335999997</v>
      </c>
      <c r="J259" s="45">
        <f>F259 * G259 * 0</f>
        <v>0</v>
      </c>
      <c r="K259" s="45">
        <f>F259 * G259 * 12915.456322</f>
        <v>258.30912644</v>
      </c>
      <c r="L259" s="45">
        <f>F259 * G259 * 4869.174218</f>
        <v>97.383484360000011</v>
      </c>
      <c r="M259" s="45">
        <f>F259 * G259 * 2713.33116</f>
        <v>54.266623200000005</v>
      </c>
      <c r="N259" s="46">
        <f>SUM(H259:M259)</f>
        <v>1079.1118633599999</v>
      </c>
      <c r="O259" s="93">
        <f t="shared" ref="O259:O262" si="89">N259*1.07*1.09*1.05</f>
        <v>1321.4965745486065</v>
      </c>
      <c r="P259" s="33">
        <f t="shared" ref="P259:P262" si="90">IF($P$9&gt;0,O259/$P$9/12,0)</f>
        <v>2.0774328342900814E-2</v>
      </c>
    </row>
    <row r="260" spans="2:16" ht="45" x14ac:dyDescent="0.25">
      <c r="B260" s="26">
        <v>154</v>
      </c>
      <c r="C260" s="27" t="s">
        <v>595</v>
      </c>
      <c r="D260" s="28" t="s">
        <v>596</v>
      </c>
      <c r="E260" s="28" t="s">
        <v>475</v>
      </c>
      <c r="F260" s="29">
        <v>0.01</v>
      </c>
      <c r="G260" s="30">
        <v>1</v>
      </c>
      <c r="H260" s="45">
        <f>F260 * G260 * 14379.725925</f>
        <v>143.79725925</v>
      </c>
      <c r="I260" s="45">
        <f>F260 * G260 * 33554.067547</f>
        <v>335.54067547</v>
      </c>
      <c r="J260" s="45">
        <f>F260 * G260 * 0</f>
        <v>0</v>
      </c>
      <c r="K260" s="45">
        <f>F260 * G260 * 13689.49908</f>
        <v>136.89499079999999</v>
      </c>
      <c r="L260" s="45">
        <f>F260 * G260 * 6470.445718</f>
        <v>64.704457180000006</v>
      </c>
      <c r="M260" s="45">
        <f>F260 * G260 * 2875.945185</f>
        <v>28.759451850000001</v>
      </c>
      <c r="N260" s="46">
        <f>SUM(H260:M260)</f>
        <v>709.69683454999995</v>
      </c>
      <c r="O260" s="93">
        <f t="shared" si="89"/>
        <v>869.10538904244845</v>
      </c>
      <c r="P260" s="33">
        <f t="shared" si="90"/>
        <v>1.366260122370698E-2</v>
      </c>
    </row>
    <row r="261" spans="2:16" ht="45" x14ac:dyDescent="0.25">
      <c r="B261" s="26">
        <v>155</v>
      </c>
      <c r="C261" s="27" t="s">
        <v>597</v>
      </c>
      <c r="D261" s="28" t="s">
        <v>598</v>
      </c>
      <c r="E261" s="28" t="s">
        <v>475</v>
      </c>
      <c r="F261" s="29">
        <v>0.03</v>
      </c>
      <c r="G261" s="30">
        <v>1</v>
      </c>
      <c r="H261" s="45">
        <f>F261 * G261 * 13566.6558</f>
        <v>406.99967399999997</v>
      </c>
      <c r="I261" s="45">
        <f>F261 * G261 * 19890.975668</f>
        <v>596.72927003999996</v>
      </c>
      <c r="J261" s="45">
        <f>F261 * G261 * 0</f>
        <v>0</v>
      </c>
      <c r="K261" s="45">
        <f>F261 * G261 * 12915.456322</f>
        <v>387.46368966</v>
      </c>
      <c r="L261" s="45">
        <f>F261 * G261 * 4869.174218</f>
        <v>146.07522653999999</v>
      </c>
      <c r="M261" s="45">
        <f>F261 * G261 * 2713.33116</f>
        <v>81.399934799999997</v>
      </c>
      <c r="N261" s="46">
        <f>SUM(H261:M261)</f>
        <v>1618.6677950399999</v>
      </c>
      <c r="O261" s="93">
        <f t="shared" si="89"/>
        <v>1982.24486182291</v>
      </c>
      <c r="P261" s="33">
        <f t="shared" si="90"/>
        <v>3.1161492514351224E-2</v>
      </c>
    </row>
    <row r="262" spans="2:16" ht="45" x14ac:dyDescent="0.25">
      <c r="B262" s="26">
        <v>156</v>
      </c>
      <c r="C262" s="27" t="s">
        <v>599</v>
      </c>
      <c r="D262" s="28" t="s">
        <v>600</v>
      </c>
      <c r="E262" s="28" t="s">
        <v>475</v>
      </c>
      <c r="F262" s="29">
        <v>0.04</v>
      </c>
      <c r="G262" s="30">
        <v>1</v>
      </c>
      <c r="H262" s="45">
        <f>F262 * G262 * 14379.725925</f>
        <v>575.18903699999998</v>
      </c>
      <c r="I262" s="45">
        <f>F262 * G262 * 33554.067547</f>
        <v>1342.16270188</v>
      </c>
      <c r="J262" s="45">
        <f>F262 * G262 * 0</f>
        <v>0</v>
      </c>
      <c r="K262" s="45">
        <f>F262 * G262 * 13689.49908</f>
        <v>547.57996319999995</v>
      </c>
      <c r="L262" s="45">
        <f>F262 * G262 * 6470.445718</f>
        <v>258.81782872000002</v>
      </c>
      <c r="M262" s="45">
        <f>F262 * G262 * 2875.945185</f>
        <v>115.03780740000001</v>
      </c>
      <c r="N262" s="46">
        <f>SUM(H262:M262)</f>
        <v>2838.7873381999998</v>
      </c>
      <c r="O262" s="93">
        <f t="shared" si="89"/>
        <v>3476.4215561697938</v>
      </c>
      <c r="P262" s="33">
        <f t="shared" si="90"/>
        <v>5.465040489482792E-2</v>
      </c>
    </row>
    <row r="263" spans="2:16" x14ac:dyDescent="0.25">
      <c r="B263" s="35"/>
      <c r="C263" s="36" t="s">
        <v>601</v>
      </c>
      <c r="D263" s="96" t="s">
        <v>602</v>
      </c>
      <c r="E263" s="96"/>
      <c r="F263" s="96"/>
      <c r="G263" s="96"/>
      <c r="H263" s="96"/>
      <c r="I263" s="96"/>
      <c r="J263" s="96"/>
      <c r="K263" s="96"/>
      <c r="L263" s="96"/>
      <c r="M263" s="96"/>
      <c r="N263" s="96"/>
      <c r="O263" s="96"/>
      <c r="P263" s="96"/>
    </row>
    <row r="264" spans="2:16" ht="45" x14ac:dyDescent="0.25">
      <c r="B264" s="26">
        <v>157</v>
      </c>
      <c r="C264" s="27" t="s">
        <v>603</v>
      </c>
      <c r="D264" s="28" t="s">
        <v>604</v>
      </c>
      <c r="E264" s="28" t="s">
        <v>475</v>
      </c>
      <c r="F264" s="29">
        <v>0.02</v>
      </c>
      <c r="G264" s="30">
        <v>1</v>
      </c>
      <c r="H264" s="45">
        <f>F264 * G264 * 51293.1096</f>
        <v>1025.8621920000001</v>
      </c>
      <c r="I264" s="45">
        <f>F264 * G264 * 138373.176918</f>
        <v>2767.4635383600003</v>
      </c>
      <c r="J264" s="45">
        <f>F264 * G264 * 0</f>
        <v>0</v>
      </c>
      <c r="K264" s="45">
        <f>F264 * G264 * 48831.040339</f>
        <v>976.62080677999995</v>
      </c>
      <c r="L264" s="45">
        <f>F264 * G264 * 25042.21932</f>
        <v>500.84438640000002</v>
      </c>
      <c r="M264" s="45">
        <f>F264 * G264 * 10258.62192</f>
        <v>205.1724384</v>
      </c>
      <c r="N264" s="46">
        <f>SUM(H264:M264)</f>
        <v>5475.9633619400001</v>
      </c>
      <c r="O264" s="93">
        <f t="shared" ref="O264:O265" si="91">N264*1.07*1.09*1.05</f>
        <v>6705.9468724821536</v>
      </c>
      <c r="P264" s="33">
        <f t="shared" ref="P264:P265" si="92">IF($P$9&gt;0,O264/$P$9/12,0)</f>
        <v>0.10541952575743813</v>
      </c>
    </row>
    <row r="265" spans="2:16" ht="45" x14ac:dyDescent="0.25">
      <c r="B265" s="26">
        <v>158</v>
      </c>
      <c r="C265" s="27" t="s">
        <v>605</v>
      </c>
      <c r="D265" s="28" t="s">
        <v>606</v>
      </c>
      <c r="E265" s="28" t="s">
        <v>475</v>
      </c>
      <c r="F265" s="29">
        <v>0.02</v>
      </c>
      <c r="G265" s="30">
        <v>1</v>
      </c>
      <c r="H265" s="45">
        <f>F265 * G265 * 54243.392625</f>
        <v>1084.8678525</v>
      </c>
      <c r="I265" s="45">
        <f>F265 * G265 * 206723.073676</f>
        <v>4134.4614735200003</v>
      </c>
      <c r="J265" s="45">
        <f>F265 * G265 * 0</f>
        <v>0</v>
      </c>
      <c r="K265" s="45">
        <f>F265 * G265 * 51639.709779</f>
        <v>1032.79419558</v>
      </c>
      <c r="L265" s="45">
        <f>F265 * G265 * 32823.648488</f>
        <v>656.47296975999996</v>
      </c>
      <c r="M265" s="45">
        <f>F265 * G265 * 10848.678525</f>
        <v>216.97357049999999</v>
      </c>
      <c r="N265" s="46">
        <f>SUM(H265:M265)</f>
        <v>7125.5700618600004</v>
      </c>
      <c r="O265" s="93">
        <f t="shared" si="91"/>
        <v>8726.0799813046851</v>
      </c>
      <c r="P265" s="33">
        <f t="shared" si="92"/>
        <v>0.13717663304572542</v>
      </c>
    </row>
    <row r="266" spans="2:16" x14ac:dyDescent="0.25">
      <c r="B266" s="35"/>
      <c r="C266" s="36" t="s">
        <v>607</v>
      </c>
      <c r="D266" s="96" t="s">
        <v>608</v>
      </c>
      <c r="E266" s="96"/>
      <c r="F266" s="96"/>
      <c r="G266" s="96"/>
      <c r="H266" s="96"/>
      <c r="I266" s="96"/>
      <c r="J266" s="96"/>
      <c r="K266" s="96"/>
      <c r="L266" s="96"/>
      <c r="M266" s="96"/>
      <c r="N266" s="96"/>
      <c r="O266" s="96"/>
      <c r="P266" s="96"/>
    </row>
    <row r="267" spans="2:16" x14ac:dyDescent="0.25">
      <c r="B267" s="35"/>
      <c r="C267" s="36" t="s">
        <v>609</v>
      </c>
      <c r="D267" s="104" t="s">
        <v>610</v>
      </c>
      <c r="E267" s="104"/>
      <c r="F267" s="10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</row>
    <row r="268" spans="2:16" ht="30" x14ac:dyDescent="0.25">
      <c r="B268" s="26">
        <v>159</v>
      </c>
      <c r="C268" s="27" t="s">
        <v>611</v>
      </c>
      <c r="D268" s="28" t="s">
        <v>612</v>
      </c>
      <c r="E268" s="28" t="s">
        <v>613</v>
      </c>
      <c r="F268" s="29">
        <v>0.04</v>
      </c>
      <c r="G268" s="30">
        <v>1</v>
      </c>
      <c r="H268" s="45">
        <f>F268 * G268 * 9312.263</f>
        <v>372.49052000000006</v>
      </c>
      <c r="I268" s="45">
        <f>F268 * G268 * 1542.38468</f>
        <v>61.695387199999999</v>
      </c>
      <c r="J268" s="45">
        <f>F268 * G268 * 0</f>
        <v>0</v>
      </c>
      <c r="K268" s="45">
        <f>F268 * G268 * 8865.274376</f>
        <v>354.61097503999997</v>
      </c>
      <c r="L268" s="45">
        <f>F268 * G268 * 2070.591816</f>
        <v>82.823672640000012</v>
      </c>
      <c r="M268" s="45">
        <f>F268 * G268 * 1862.4526</f>
        <v>74.498103999999998</v>
      </c>
      <c r="N268" s="46">
        <f>SUM(H268:M268)</f>
        <v>946.11865888000011</v>
      </c>
      <c r="O268" s="93">
        <f t="shared" ref="O268:O271" si="93">N268*1.07*1.09*1.05</f>
        <v>1158.6311014443315</v>
      </c>
      <c r="P268" s="33">
        <f t="shared" ref="P268:P271" si="94">IF($P$9&gt;0,O268/$P$9/12,0)</f>
        <v>1.8214033538394195E-2</v>
      </c>
    </row>
    <row r="269" spans="2:16" ht="30" x14ac:dyDescent="0.25">
      <c r="B269" s="26">
        <v>160</v>
      </c>
      <c r="C269" s="27" t="s">
        <v>614</v>
      </c>
      <c r="D269" s="28" t="s">
        <v>615</v>
      </c>
      <c r="E269" s="28" t="s">
        <v>616</v>
      </c>
      <c r="F269" s="29">
        <v>0.09</v>
      </c>
      <c r="G269" s="30">
        <v>1</v>
      </c>
      <c r="H269" s="45">
        <f>F269 * G269 * 2044.64905</f>
        <v>184.01841450000001</v>
      </c>
      <c r="I269" s="45">
        <f>F269 * G269 * 732.256258</f>
        <v>65.903063219999993</v>
      </c>
      <c r="J269" s="45">
        <f>F269 * G269 * 0</f>
        <v>0</v>
      </c>
      <c r="K269" s="45">
        <f>F269 * G269 * 1946.505896</f>
        <v>175.18553064</v>
      </c>
      <c r="L269" s="45">
        <f>F269 * G269 * 495.958176</f>
        <v>44.636235839999998</v>
      </c>
      <c r="M269" s="45">
        <f>F269 * G269 * 408.92981</f>
        <v>36.803682899999998</v>
      </c>
      <c r="N269" s="46">
        <f>SUM(H269:M269)</f>
        <v>506.5469271</v>
      </c>
      <c r="O269" s="93">
        <f t="shared" si="93"/>
        <v>620.32496513056674</v>
      </c>
      <c r="P269" s="33">
        <f t="shared" si="94"/>
        <v>9.7516972447111664E-3</v>
      </c>
    </row>
    <row r="270" spans="2:16" ht="30" x14ac:dyDescent="0.25">
      <c r="B270" s="26">
        <v>161</v>
      </c>
      <c r="C270" s="27" t="s">
        <v>617</v>
      </c>
      <c r="D270" s="28" t="s">
        <v>618</v>
      </c>
      <c r="E270" s="28" t="s">
        <v>619</v>
      </c>
      <c r="F270" s="29">
        <v>0.02</v>
      </c>
      <c r="G270" s="30">
        <v>1</v>
      </c>
      <c r="H270" s="45">
        <f>F270 * G270 * 6275.6555</f>
        <v>125.51311</v>
      </c>
      <c r="I270" s="45">
        <f>F270 * G270 * 110947.389984</f>
        <v>2218.9477996800001</v>
      </c>
      <c r="J270" s="45">
        <f>F270 * G270 * 0</f>
        <v>0</v>
      </c>
      <c r="K270" s="45">
        <f>F270 * G270 * 5974.424036</f>
        <v>119.48848072000001</v>
      </c>
      <c r="L270" s="45">
        <f>F270 * G270 * 12935.7343</f>
        <v>258.71468600000003</v>
      </c>
      <c r="M270" s="45">
        <f>F270 * G270 * 1255.1311</f>
        <v>25.102622</v>
      </c>
      <c r="N270" s="46">
        <f>SUM(H270:M270)</f>
        <v>2747.7666984000002</v>
      </c>
      <c r="O270" s="93">
        <f t="shared" si="93"/>
        <v>3364.956315361117</v>
      </c>
      <c r="P270" s="33">
        <f t="shared" si="94"/>
        <v>5.2898137385416544E-2</v>
      </c>
    </row>
    <row r="271" spans="2:16" ht="30" x14ac:dyDescent="0.25">
      <c r="B271" s="26">
        <v>162</v>
      </c>
      <c r="C271" s="27" t="s">
        <v>620</v>
      </c>
      <c r="D271" s="28" t="s">
        <v>621</v>
      </c>
      <c r="E271" s="28" t="s">
        <v>622</v>
      </c>
      <c r="F271" s="29">
        <v>0.01</v>
      </c>
      <c r="G271" s="30">
        <v>1</v>
      </c>
      <c r="H271" s="45">
        <f>F271 * G271 * 10729.3465</f>
        <v>107.293465</v>
      </c>
      <c r="I271" s="45">
        <f>F271 * G271 * 3247.407215</f>
        <v>32.474072150000005</v>
      </c>
      <c r="J271" s="45">
        <f>F271 * G271 * 0</f>
        <v>0</v>
      </c>
      <c r="K271" s="45">
        <f>F271 * G271 * 10214.337868</f>
        <v>102.14337868000001</v>
      </c>
      <c r="L271" s="45">
        <f>F271 * G271 * 2540.064616</f>
        <v>25.400646160000001</v>
      </c>
      <c r="M271" s="45">
        <f>F271 * G271 * 2145.8693</f>
        <v>21.458693</v>
      </c>
      <c r="N271" s="46">
        <f>SUM(H271:M271)</f>
        <v>288.77025499000001</v>
      </c>
      <c r="O271" s="93">
        <f t="shared" si="93"/>
        <v>353.63238581457887</v>
      </c>
      <c r="P271" s="33">
        <f t="shared" si="94"/>
        <v>5.5592087312862177E-3</v>
      </c>
    </row>
    <row r="272" spans="2:16" x14ac:dyDescent="0.25">
      <c r="B272" s="35"/>
      <c r="C272" s="36" t="s">
        <v>623</v>
      </c>
      <c r="D272" s="96" t="s">
        <v>624</v>
      </c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</row>
    <row r="273" spans="2:16" ht="45" x14ac:dyDescent="0.25">
      <c r="B273" s="26">
        <v>163</v>
      </c>
      <c r="C273" s="27" t="s">
        <v>625</v>
      </c>
      <c r="D273" s="28" t="s">
        <v>626</v>
      </c>
      <c r="E273" s="28" t="s">
        <v>627</v>
      </c>
      <c r="F273" s="29">
        <v>1.68</v>
      </c>
      <c r="G273" s="30">
        <v>1</v>
      </c>
      <c r="H273" s="45">
        <f>F273 * G273 * 66.805365</f>
        <v>112.23301319999999</v>
      </c>
      <c r="I273" s="45">
        <f>F273 * G273 * 0</f>
        <v>0</v>
      </c>
      <c r="J273" s="45">
        <f>F273 * G273 * 0</f>
        <v>0</v>
      </c>
      <c r="K273" s="45">
        <f>F273 * G273 * 63.598707</f>
        <v>106.84582775999999</v>
      </c>
      <c r="L273" s="45">
        <f>F273 * G273 * 13.692427</f>
        <v>23.003277359999998</v>
      </c>
      <c r="M273" s="45">
        <f>F273 * G273 * 13.361073</f>
        <v>22.446602639999998</v>
      </c>
      <c r="N273" s="46">
        <f>SUM(H273:M273)</f>
        <v>264.52872095999999</v>
      </c>
      <c r="O273" s="93">
        <f t="shared" ref="O273:O274" si="95">N273*1.07*1.09*1.05</f>
        <v>323.94583961843045</v>
      </c>
      <c r="P273" s="33">
        <f t="shared" ref="P273:P274" si="96">IF($P$9&gt;0,O273/$P$9/12,0)</f>
        <v>5.0925271901281271E-3</v>
      </c>
    </row>
    <row r="274" spans="2:16" ht="45" x14ac:dyDescent="0.25">
      <c r="B274" s="26">
        <v>164</v>
      </c>
      <c r="C274" s="27" t="s">
        <v>628</v>
      </c>
      <c r="D274" s="28" t="s">
        <v>629</v>
      </c>
      <c r="E274" s="28" t="s">
        <v>627</v>
      </c>
      <c r="F274" s="29">
        <v>1.77</v>
      </c>
      <c r="G274" s="30">
        <v>1</v>
      </c>
      <c r="H274" s="45">
        <f>F274 * G274 * 105.26906</f>
        <v>186.32623619999998</v>
      </c>
      <c r="I274" s="45">
        <f>F274 * G274 * 0</f>
        <v>0</v>
      </c>
      <c r="J274" s="45">
        <f>F274 * G274 * 0</f>
        <v>0</v>
      </c>
      <c r="K274" s="45">
        <f>F274 * G274 * 100.216145</f>
        <v>177.38257665</v>
      </c>
      <c r="L274" s="45">
        <f>F274 * G274 * 21.575947</f>
        <v>38.189426189999999</v>
      </c>
      <c r="M274" s="45">
        <f>F274 * G274 * 21.053812</f>
        <v>37.265247240000001</v>
      </c>
      <c r="N274" s="46">
        <f>SUM(H274:M274)</f>
        <v>439.16348627999997</v>
      </c>
      <c r="O274" s="93">
        <f t="shared" si="95"/>
        <v>537.80619275078232</v>
      </c>
      <c r="P274" s="33">
        <f t="shared" si="96"/>
        <v>8.4544770287175736E-3</v>
      </c>
    </row>
    <row r="275" spans="2:16" x14ac:dyDescent="0.25">
      <c r="B275" s="35"/>
      <c r="C275" s="36" t="s">
        <v>630</v>
      </c>
      <c r="D275" s="96" t="s">
        <v>631</v>
      </c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</row>
    <row r="276" spans="2:16" ht="45" x14ac:dyDescent="0.25">
      <c r="B276" s="26">
        <v>165</v>
      </c>
      <c r="C276" s="27" t="s">
        <v>632</v>
      </c>
      <c r="D276" s="28" t="s">
        <v>633</v>
      </c>
      <c r="E276" s="28" t="s">
        <v>94</v>
      </c>
      <c r="F276" s="29">
        <v>0.03</v>
      </c>
      <c r="G276" s="30">
        <v>1</v>
      </c>
      <c r="H276" s="45">
        <f>F276 * G276 * 15376.421476</f>
        <v>461.29264427999999</v>
      </c>
      <c r="I276" s="45">
        <f>F276 * G276 * 3557.504725</f>
        <v>106.72514174999999</v>
      </c>
      <c r="J276" s="45">
        <f>F276 * G276 * 0</f>
        <v>0</v>
      </c>
      <c r="K276" s="45">
        <f>F276 * G276 * 14638.353245</f>
        <v>439.15059735</v>
      </c>
      <c r="L276" s="45">
        <f>F276 * G276 * 3525.089342</f>
        <v>105.75268026000001</v>
      </c>
      <c r="M276" s="45">
        <f>F276 * G276 * 3075.284295</f>
        <v>92.25852884999999</v>
      </c>
      <c r="N276" s="46">
        <f>SUM(H276:M276)</f>
        <v>1205.17959249</v>
      </c>
      <c r="O276" s="93">
        <f t="shared" ref="O276" si="97">N276*1.07*1.09*1.05</f>
        <v>1475.8810066571416</v>
      </c>
      <c r="P276" s="33">
        <f>IF($P$9&gt;0,O276/$P$9/12,0)</f>
        <v>2.3201298601791195E-2</v>
      </c>
    </row>
    <row r="277" spans="2:16" x14ac:dyDescent="0.25">
      <c r="B277" s="35"/>
      <c r="C277" s="36" t="s">
        <v>634</v>
      </c>
      <c r="D277" s="96" t="s">
        <v>635</v>
      </c>
      <c r="E277" s="96"/>
      <c r="F277" s="96"/>
      <c r="G277" s="96"/>
      <c r="H277" s="96"/>
      <c r="I277" s="96"/>
      <c r="J277" s="96"/>
      <c r="K277" s="96"/>
      <c r="L277" s="96"/>
      <c r="M277" s="96"/>
      <c r="N277" s="96"/>
      <c r="O277" s="96"/>
      <c r="P277" s="96"/>
    </row>
    <row r="278" spans="2:16" ht="45" x14ac:dyDescent="0.25">
      <c r="B278" s="26">
        <v>166</v>
      </c>
      <c r="C278" s="27" t="s">
        <v>636</v>
      </c>
      <c r="D278" s="28" t="s">
        <v>637</v>
      </c>
      <c r="E278" s="28" t="s">
        <v>638</v>
      </c>
      <c r="F278" s="29">
        <v>0.02</v>
      </c>
      <c r="G278" s="30">
        <v>1</v>
      </c>
      <c r="H278" s="45">
        <f>F278 * G278 * 13764.2656</f>
        <v>275.28531200000003</v>
      </c>
      <c r="I278" s="45">
        <f>F278 * G278 * 0</f>
        <v>0</v>
      </c>
      <c r="J278" s="45">
        <f>F278 * G278 * 0</f>
        <v>0</v>
      </c>
      <c r="K278" s="45">
        <f>F278 * G278 * 13103.580851</f>
        <v>262.07161702000002</v>
      </c>
      <c r="L278" s="45">
        <f>F278 * G278 * 2821.123877</f>
        <v>56.422477540000003</v>
      </c>
      <c r="M278" s="45">
        <f>F278 * G278 * 2752.85312</f>
        <v>55.057062400000007</v>
      </c>
      <c r="N278" s="46">
        <f>SUM(H278:M278)</f>
        <v>648.83646896000005</v>
      </c>
      <c r="O278" s="93">
        <f t="shared" ref="O278:O279" si="98">N278*1.07*1.09*1.05</f>
        <v>794.57487243545063</v>
      </c>
      <c r="P278" s="33">
        <f t="shared" ref="P278:P279" si="99">IF($P$9&gt;0,O278/$P$9/12,0)</f>
        <v>1.2490958819648033E-2</v>
      </c>
    </row>
    <row r="279" spans="2:16" ht="45" x14ac:dyDescent="0.25">
      <c r="B279" s="26">
        <v>167</v>
      </c>
      <c r="C279" s="27" t="s">
        <v>639</v>
      </c>
      <c r="D279" s="28" t="s">
        <v>640</v>
      </c>
      <c r="E279" s="28" t="s">
        <v>638</v>
      </c>
      <c r="F279" s="29">
        <v>0.01</v>
      </c>
      <c r="G279" s="30">
        <v>1</v>
      </c>
      <c r="H279" s="45">
        <f>F279 * G279 * 17065.2886</f>
        <v>170.652886</v>
      </c>
      <c r="I279" s="45">
        <f>F279 * G279 * 0</f>
        <v>0</v>
      </c>
      <c r="J279" s="45">
        <f>F279 * G279 * 0</f>
        <v>0</v>
      </c>
      <c r="K279" s="45">
        <f>F279 * G279 * 16246.154747</f>
        <v>162.46154747</v>
      </c>
      <c r="L279" s="45">
        <f>F279 * G279 * 3497.701552</f>
        <v>34.977015520000002</v>
      </c>
      <c r="M279" s="45">
        <f>F279 * G279 * 3413.05772</f>
        <v>34.130577199999998</v>
      </c>
      <c r="N279" s="46">
        <f>SUM(H279:M279)</f>
        <v>402.22202619000001</v>
      </c>
      <c r="O279" s="93">
        <f t="shared" si="98"/>
        <v>492.56712660266697</v>
      </c>
      <c r="P279" s="33">
        <f t="shared" si="99"/>
        <v>7.7433051405814473E-3</v>
      </c>
    </row>
    <row r="280" spans="2:16" ht="13.9" customHeight="1" x14ac:dyDescent="0.25">
      <c r="B280" s="23"/>
      <c r="C280" s="24" t="s">
        <v>314</v>
      </c>
      <c r="D280" s="100" t="s">
        <v>315</v>
      </c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</row>
    <row r="281" spans="2:16" x14ac:dyDescent="0.25">
      <c r="B281" s="35"/>
      <c r="C281" s="36" t="s">
        <v>641</v>
      </c>
      <c r="D281" s="96" t="s">
        <v>642</v>
      </c>
      <c r="E281" s="96"/>
      <c r="F281" s="96"/>
      <c r="G281" s="96"/>
      <c r="H281" s="96"/>
      <c r="I281" s="96"/>
      <c r="J281" s="96"/>
      <c r="K281" s="96"/>
      <c r="L281" s="96"/>
      <c r="M281" s="96"/>
      <c r="N281" s="96"/>
      <c r="O281" s="96"/>
      <c r="P281" s="96"/>
    </row>
    <row r="282" spans="2:16" ht="30" x14ac:dyDescent="0.25">
      <c r="B282" s="26">
        <v>168</v>
      </c>
      <c r="C282" s="27" t="s">
        <v>643</v>
      </c>
      <c r="D282" s="28" t="s">
        <v>644</v>
      </c>
      <c r="E282" s="28" t="s">
        <v>645</v>
      </c>
      <c r="F282" s="29">
        <v>1.04</v>
      </c>
      <c r="G282" s="30">
        <v>1</v>
      </c>
      <c r="H282" s="45">
        <f>F282 * G282 * 13682.472</f>
        <v>14229.77088</v>
      </c>
      <c r="I282" s="45">
        <f>F282 * G282 * 0</f>
        <v>0</v>
      </c>
      <c r="J282" s="45">
        <f>F282 * G282 * 0</f>
        <v>0</v>
      </c>
      <c r="K282" s="45">
        <f>F282 * G282 * 13025.713344</f>
        <v>13546.74187776</v>
      </c>
      <c r="L282" s="45">
        <f>F282 * G282 * 2804.359461</f>
        <v>2916.5338394400001</v>
      </c>
      <c r="M282" s="45">
        <f>F282 * G282 * 2736.4944</f>
        <v>2845.9541760000002</v>
      </c>
      <c r="N282" s="46">
        <f>SUM(H282:M282)</f>
        <v>33539.000773200001</v>
      </c>
      <c r="O282" s="93">
        <f t="shared" ref="O282:O285" si="100">N282*1.07*1.09*1.05</f>
        <v>41072.363431872327</v>
      </c>
      <c r="P282" s="33">
        <f t="shared" ref="P282:P285" si="101">IF($P$9&gt;0,O282/$P$9/12,0)</f>
        <v>0.64567005332126526</v>
      </c>
    </row>
    <row r="283" spans="2:16" x14ac:dyDescent="0.25">
      <c r="B283" s="26">
        <v>169</v>
      </c>
      <c r="C283" s="27" t="s">
        <v>646</v>
      </c>
      <c r="D283" s="28" t="s">
        <v>647</v>
      </c>
      <c r="E283" s="28" t="s">
        <v>648</v>
      </c>
      <c r="F283" s="29">
        <v>247.2</v>
      </c>
      <c r="G283" s="30">
        <v>1</v>
      </c>
      <c r="H283" s="45">
        <f>F283 * G283 * 198.395844</f>
        <v>49043.452636800001</v>
      </c>
      <c r="I283" s="45">
        <f>F283 * G283 * 0</f>
        <v>0</v>
      </c>
      <c r="J283" s="45">
        <f>F283 * G283 * 0</f>
        <v>0</v>
      </c>
      <c r="K283" s="45">
        <f>F283 * G283 * 188.872844</f>
        <v>46689.367036799995</v>
      </c>
      <c r="L283" s="45">
        <f>F283 * G283 * 40.663212</f>
        <v>10051.9460064</v>
      </c>
      <c r="M283" s="45">
        <f>F283 * G283 * 39.679169</f>
        <v>9808.6905767999997</v>
      </c>
      <c r="N283" s="46">
        <f>SUM(H283:M283)</f>
        <v>115593.4562568</v>
      </c>
      <c r="O283" s="93">
        <f t="shared" si="100"/>
        <v>141557.48043392116</v>
      </c>
      <c r="P283" s="33">
        <f t="shared" si="101"/>
        <v>2.2253266747456637</v>
      </c>
    </row>
    <row r="284" spans="2:16" ht="45" x14ac:dyDescent="0.25">
      <c r="B284" s="26">
        <v>170</v>
      </c>
      <c r="C284" s="27" t="s">
        <v>649</v>
      </c>
      <c r="D284" s="28" t="s">
        <v>650</v>
      </c>
      <c r="E284" s="28" t="s">
        <v>651</v>
      </c>
      <c r="F284" s="29">
        <v>0.19</v>
      </c>
      <c r="G284" s="30">
        <v>1</v>
      </c>
      <c r="H284" s="45">
        <f>F284 * G284 * 7130.5956</f>
        <v>1354.8131639999999</v>
      </c>
      <c r="I284" s="45">
        <f>F284 * G284 * 732.256258</f>
        <v>139.12868902</v>
      </c>
      <c r="J284" s="45">
        <f>F284 * G284 * 0</f>
        <v>0</v>
      </c>
      <c r="K284" s="45">
        <f>F284 * G284 * 6788.327011</f>
        <v>1289.78213209</v>
      </c>
      <c r="L284" s="45">
        <f>F284 * G284 * 1538.373781</f>
        <v>292.29101838999998</v>
      </c>
      <c r="M284" s="45">
        <f>F284 * G284 * 1426.11912</f>
        <v>270.96263279999999</v>
      </c>
      <c r="N284" s="46">
        <f>SUM(H284:M284)</f>
        <v>3346.9776362999996</v>
      </c>
      <c r="O284" s="93">
        <f t="shared" si="100"/>
        <v>4098.7590180775251</v>
      </c>
      <c r="P284" s="33">
        <f t="shared" si="101"/>
        <v>6.4433739201369633E-2</v>
      </c>
    </row>
    <row r="285" spans="2:16" ht="30" x14ac:dyDescent="0.25">
      <c r="B285" s="26">
        <v>171</v>
      </c>
      <c r="C285" s="27" t="s">
        <v>652</v>
      </c>
      <c r="D285" s="28" t="s">
        <v>653</v>
      </c>
      <c r="E285" s="28" t="s">
        <v>335</v>
      </c>
      <c r="F285" s="29">
        <v>5.3</v>
      </c>
      <c r="G285" s="30">
        <v>1</v>
      </c>
      <c r="H285" s="45">
        <f>F285 * G285 * 850.2501</f>
        <v>4506.3255300000001</v>
      </c>
      <c r="I285" s="45">
        <f>F285 * G285 * 0</f>
        <v>0</v>
      </c>
      <c r="J285" s="45">
        <f>F285 * G285 * 0</f>
        <v>0</v>
      </c>
      <c r="K285" s="45">
        <f>F285 * G285 * 809.438095</f>
        <v>4290.0219035</v>
      </c>
      <c r="L285" s="45">
        <f>F285 * G285 * 174.267261</f>
        <v>923.61648329999991</v>
      </c>
      <c r="M285" s="45">
        <f>F285 * G285 * 170.05002</f>
        <v>901.26510599999995</v>
      </c>
      <c r="N285" s="46">
        <f>SUM(H285:M285)</f>
        <v>10621.2290228</v>
      </c>
      <c r="O285" s="93">
        <f t="shared" si="100"/>
        <v>13006.916379756225</v>
      </c>
      <c r="P285" s="33">
        <f t="shared" si="101"/>
        <v>0.20447268408093167</v>
      </c>
    </row>
    <row r="286" spans="2:16" x14ac:dyDescent="0.25">
      <c r="B286" s="35"/>
      <c r="C286" s="36" t="s">
        <v>654</v>
      </c>
      <c r="D286" s="96" t="s">
        <v>655</v>
      </c>
      <c r="E286" s="96"/>
      <c r="F286" s="96"/>
      <c r="G286" s="96"/>
      <c r="H286" s="96"/>
      <c r="I286" s="96"/>
      <c r="J286" s="96"/>
      <c r="K286" s="96"/>
      <c r="L286" s="96"/>
      <c r="M286" s="96"/>
      <c r="N286" s="96"/>
      <c r="O286" s="96"/>
      <c r="P286" s="96"/>
    </row>
    <row r="287" spans="2:16" x14ac:dyDescent="0.25">
      <c r="B287" s="35"/>
      <c r="C287" s="36" t="s">
        <v>656</v>
      </c>
      <c r="D287" s="104" t="s">
        <v>657</v>
      </c>
      <c r="E287" s="104"/>
      <c r="F287" s="10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</row>
    <row r="288" spans="2:16" ht="45" x14ac:dyDescent="0.25">
      <c r="B288" s="26">
        <v>172</v>
      </c>
      <c r="C288" s="27" t="s">
        <v>658</v>
      </c>
      <c r="D288" s="28" t="s">
        <v>659</v>
      </c>
      <c r="E288" s="28" t="s">
        <v>660</v>
      </c>
      <c r="F288" s="29">
        <v>1</v>
      </c>
      <c r="G288" s="30">
        <v>1</v>
      </c>
      <c r="H288" s="45">
        <f>F288 * G288 * 22.80412</f>
        <v>22.804120000000001</v>
      </c>
      <c r="I288" s="45">
        <f t="shared" ref="I288:I295" si="102">F288 * G288 * 0</f>
        <v>0</v>
      </c>
      <c r="J288" s="45">
        <f t="shared" ref="J288:J295" si="103">F288 * G288 * 0</f>
        <v>0</v>
      </c>
      <c r="K288" s="45">
        <f>F288 * G288 * 21.709522</f>
        <v>21.709522</v>
      </c>
      <c r="L288" s="45">
        <f>F288 * G288 * 4.673932</f>
        <v>4.6739319999999998</v>
      </c>
      <c r="M288" s="45">
        <f>F288 * G288 * 4.560824</f>
        <v>4.5608240000000002</v>
      </c>
      <c r="N288" s="46">
        <f t="shared" ref="N288:N295" si="104">SUM(H288:M288)</f>
        <v>53.748398000000009</v>
      </c>
      <c r="O288" s="93">
        <f t="shared" ref="O288:O295" si="105">N288*1.07*1.09*1.05</f>
        <v>65.821094416770023</v>
      </c>
      <c r="P288" s="33">
        <f t="shared" ref="P288:P295" si="106">IF($P$9&gt;0,O288/$P$9/12,0)</f>
        <v>1.0347276365586684E-3</v>
      </c>
    </row>
    <row r="289" spans="2:16" ht="30" x14ac:dyDescent="0.25">
      <c r="B289" s="26">
        <v>173</v>
      </c>
      <c r="C289" s="27" t="s">
        <v>661</v>
      </c>
      <c r="D289" s="28" t="s">
        <v>662</v>
      </c>
      <c r="E289" s="28" t="s">
        <v>660</v>
      </c>
      <c r="F289" s="29">
        <v>104</v>
      </c>
      <c r="G289" s="30">
        <v>4</v>
      </c>
      <c r="H289" s="45">
        <f>F289 * G289 * 20.24405</f>
        <v>8421.5248000000011</v>
      </c>
      <c r="I289" s="45">
        <f t="shared" si="102"/>
        <v>0</v>
      </c>
      <c r="J289" s="45">
        <f t="shared" si="103"/>
        <v>0</v>
      </c>
      <c r="K289" s="45">
        <f>F289 * G289 * 19.272336</f>
        <v>8017.291776</v>
      </c>
      <c r="L289" s="45">
        <f>F289 * G289 * 4.149221</f>
        <v>1726.075936</v>
      </c>
      <c r="M289" s="45">
        <f>F289 * G289 * 4.04881</f>
        <v>1684.3049599999999</v>
      </c>
      <c r="N289" s="46">
        <f t="shared" si="104"/>
        <v>19849.197472000003</v>
      </c>
      <c r="O289" s="93">
        <f t="shared" si="105"/>
        <v>24307.62496217329</v>
      </c>
      <c r="P289" s="33">
        <f t="shared" si="106"/>
        <v>0.3821232623117225</v>
      </c>
    </row>
    <row r="290" spans="2:16" ht="45" x14ac:dyDescent="0.25">
      <c r="B290" s="26">
        <v>174</v>
      </c>
      <c r="C290" s="27" t="s">
        <v>663</v>
      </c>
      <c r="D290" s="28" t="s">
        <v>664</v>
      </c>
      <c r="E290" s="28" t="s">
        <v>660</v>
      </c>
      <c r="F290" s="29">
        <v>1</v>
      </c>
      <c r="G290" s="30">
        <v>1</v>
      </c>
      <c r="H290" s="45">
        <f>F290 * G290 * 60.73215</f>
        <v>60.732149999999997</v>
      </c>
      <c r="I290" s="45">
        <f t="shared" si="102"/>
        <v>0</v>
      </c>
      <c r="J290" s="45">
        <f t="shared" si="103"/>
        <v>0</v>
      </c>
      <c r="K290" s="45">
        <f>F290 * G290 * 57.817006</f>
        <v>57.817005999999999</v>
      </c>
      <c r="L290" s="45">
        <f>F290 * G290 * 12.447662</f>
        <v>12.447661999999999</v>
      </c>
      <c r="M290" s="45">
        <f>F290 * G290 * 12.14643</f>
        <v>12.146430000000001</v>
      </c>
      <c r="N290" s="46">
        <f t="shared" si="104"/>
        <v>143.143248</v>
      </c>
      <c r="O290" s="93">
        <f t="shared" si="105"/>
        <v>175.29536864952001</v>
      </c>
      <c r="P290" s="33">
        <f t="shared" si="106"/>
        <v>2.7556965454555746E-3</v>
      </c>
    </row>
    <row r="291" spans="2:16" ht="45" x14ac:dyDescent="0.25">
      <c r="B291" s="26">
        <v>175</v>
      </c>
      <c r="C291" s="27" t="s">
        <v>665</v>
      </c>
      <c r="D291" s="28" t="s">
        <v>666</v>
      </c>
      <c r="E291" s="28" t="s">
        <v>667</v>
      </c>
      <c r="F291" s="29">
        <v>1</v>
      </c>
      <c r="G291" s="30">
        <v>1</v>
      </c>
      <c r="H291" s="45">
        <f>F291 * G291 * 120.861836</f>
        <v>120.861836</v>
      </c>
      <c r="I291" s="45">
        <f t="shared" si="102"/>
        <v>0</v>
      </c>
      <c r="J291" s="45">
        <f t="shared" si="103"/>
        <v>0</v>
      </c>
      <c r="K291" s="45">
        <f>F291 * G291 * 115.060467</f>
        <v>115.060467</v>
      </c>
      <c r="L291" s="45">
        <f>F291 * G291 * 24.771842</f>
        <v>24.771841999999999</v>
      </c>
      <c r="M291" s="45">
        <f>F291 * G291 * 24.172367</f>
        <v>24.172367000000001</v>
      </c>
      <c r="N291" s="46">
        <f t="shared" si="104"/>
        <v>284.866512</v>
      </c>
      <c r="O291" s="93">
        <f t="shared" si="105"/>
        <v>348.85180359288012</v>
      </c>
      <c r="P291" s="33">
        <f t="shared" si="106"/>
        <v>5.4840565238143757E-3</v>
      </c>
    </row>
    <row r="292" spans="2:16" ht="30" x14ac:dyDescent="0.25">
      <c r="B292" s="26">
        <v>176</v>
      </c>
      <c r="C292" s="27" t="s">
        <v>668</v>
      </c>
      <c r="D292" s="28" t="s">
        <v>669</v>
      </c>
      <c r="E292" s="28" t="s">
        <v>667</v>
      </c>
      <c r="F292" s="29">
        <v>1</v>
      </c>
      <c r="G292" s="30">
        <v>1</v>
      </c>
      <c r="H292" s="45">
        <f>F292 * G292 * 228.0412</f>
        <v>228.0412</v>
      </c>
      <c r="I292" s="45">
        <f t="shared" si="102"/>
        <v>0</v>
      </c>
      <c r="J292" s="45">
        <f t="shared" si="103"/>
        <v>0</v>
      </c>
      <c r="K292" s="45">
        <f>F292 * G292 * 217.095222</f>
        <v>217.09522200000001</v>
      </c>
      <c r="L292" s="45">
        <f>F292 * G292 * 46.739324</f>
        <v>46.739324000000003</v>
      </c>
      <c r="M292" s="45">
        <f>F292 * G292 * 45.60824</f>
        <v>45.608240000000002</v>
      </c>
      <c r="N292" s="46">
        <f t="shared" si="104"/>
        <v>537.48398600000007</v>
      </c>
      <c r="O292" s="93">
        <f t="shared" si="105"/>
        <v>658.21095151539021</v>
      </c>
      <c r="P292" s="33">
        <f t="shared" si="106"/>
        <v>1.0347276481094608E-2</v>
      </c>
    </row>
    <row r="293" spans="2:16" ht="30" x14ac:dyDescent="0.25">
      <c r="B293" s="26">
        <v>177</v>
      </c>
      <c r="C293" s="27" t="s">
        <v>670</v>
      </c>
      <c r="D293" s="28" t="s">
        <v>671</v>
      </c>
      <c r="E293" s="28" t="s">
        <v>660</v>
      </c>
      <c r="F293" s="29">
        <v>1</v>
      </c>
      <c r="G293" s="30">
        <v>1</v>
      </c>
      <c r="H293" s="45">
        <f>F293 * G293 * 45.60824</f>
        <v>45.608240000000002</v>
      </c>
      <c r="I293" s="45">
        <f t="shared" si="102"/>
        <v>0</v>
      </c>
      <c r="J293" s="45">
        <f t="shared" si="103"/>
        <v>0</v>
      </c>
      <c r="K293" s="45">
        <f>F293 * G293 * 43.419044</f>
        <v>43.419044</v>
      </c>
      <c r="L293" s="45">
        <f>F293 * G293 * 9.347864</f>
        <v>9.3478639999999995</v>
      </c>
      <c r="M293" s="45">
        <f>F293 * G293 * 9.121648</f>
        <v>9.1216480000000004</v>
      </c>
      <c r="N293" s="46">
        <f t="shared" si="104"/>
        <v>107.49679600000002</v>
      </c>
      <c r="O293" s="93">
        <f t="shared" si="105"/>
        <v>131.64218883354005</v>
      </c>
      <c r="P293" s="33">
        <f t="shared" si="106"/>
        <v>2.0694552731173369E-3</v>
      </c>
    </row>
    <row r="294" spans="2:16" ht="30" x14ac:dyDescent="0.25">
      <c r="B294" s="26">
        <v>178</v>
      </c>
      <c r="C294" s="27" t="s">
        <v>672</v>
      </c>
      <c r="D294" s="28" t="s">
        <v>673</v>
      </c>
      <c r="E294" s="28" t="s">
        <v>660</v>
      </c>
      <c r="F294" s="29">
        <v>1</v>
      </c>
      <c r="G294" s="30">
        <v>1</v>
      </c>
      <c r="H294" s="45">
        <f>F294 * G294 * 164.189664</f>
        <v>164.18966399999999</v>
      </c>
      <c r="I294" s="45">
        <f t="shared" si="102"/>
        <v>0</v>
      </c>
      <c r="J294" s="45">
        <f t="shared" si="103"/>
        <v>0</v>
      </c>
      <c r="K294" s="45">
        <f>F294 * G294 * 156.308561</f>
        <v>156.308561</v>
      </c>
      <c r="L294" s="45">
        <f>F294 * G294 * 33.652313</f>
        <v>33.652312999999999</v>
      </c>
      <c r="M294" s="45">
        <f>F294 * G294 * 32.837933</f>
        <v>32.837933</v>
      </c>
      <c r="N294" s="46">
        <f t="shared" si="104"/>
        <v>386.988471</v>
      </c>
      <c r="O294" s="93">
        <f t="shared" si="105"/>
        <v>473.91188641366506</v>
      </c>
      <c r="P294" s="33">
        <f t="shared" si="106"/>
        <v>7.4500390871795425E-3</v>
      </c>
    </row>
    <row r="295" spans="2:16" ht="30" x14ac:dyDescent="0.25">
      <c r="B295" s="26">
        <v>179</v>
      </c>
      <c r="C295" s="27" t="s">
        <v>674</v>
      </c>
      <c r="D295" s="28" t="s">
        <v>675</v>
      </c>
      <c r="E295" s="28" t="s">
        <v>660</v>
      </c>
      <c r="F295" s="29">
        <v>2</v>
      </c>
      <c r="G295" s="30">
        <v>1</v>
      </c>
      <c r="H295" s="45">
        <f>F295 * G295 * 22.80412</f>
        <v>45.608240000000002</v>
      </c>
      <c r="I295" s="45">
        <f t="shared" si="102"/>
        <v>0</v>
      </c>
      <c r="J295" s="45">
        <f t="shared" si="103"/>
        <v>0</v>
      </c>
      <c r="K295" s="45">
        <f>F295 * G295 * 21.709522</f>
        <v>43.419044</v>
      </c>
      <c r="L295" s="45">
        <f>F295 * G295 * 4.673932</f>
        <v>9.3478639999999995</v>
      </c>
      <c r="M295" s="45">
        <f>F295 * G295 * 4.560824</f>
        <v>9.1216480000000004</v>
      </c>
      <c r="N295" s="46">
        <f t="shared" si="104"/>
        <v>107.49679600000002</v>
      </c>
      <c r="O295" s="93">
        <f t="shared" si="105"/>
        <v>131.64218883354005</v>
      </c>
      <c r="P295" s="33">
        <f t="shared" si="106"/>
        <v>2.0694552731173369E-3</v>
      </c>
    </row>
    <row r="296" spans="2:16" x14ac:dyDescent="0.25">
      <c r="B296" s="35"/>
      <c r="C296" s="36" t="s">
        <v>676</v>
      </c>
      <c r="D296" s="104" t="s">
        <v>677</v>
      </c>
      <c r="E296" s="104"/>
      <c r="F296" s="10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</row>
    <row r="297" spans="2:16" ht="30" x14ac:dyDescent="0.25">
      <c r="B297" s="26">
        <v>180</v>
      </c>
      <c r="C297" s="27" t="s">
        <v>678</v>
      </c>
      <c r="D297" s="28" t="s">
        <v>679</v>
      </c>
      <c r="E297" s="28" t="s">
        <v>660</v>
      </c>
      <c r="F297" s="29">
        <v>1</v>
      </c>
      <c r="G297" s="30">
        <v>1</v>
      </c>
      <c r="H297" s="45">
        <f>F297 * G297 * 36.486592</f>
        <v>36.486592000000002</v>
      </c>
      <c r="I297" s="45">
        <f t="shared" ref="I297:I304" si="107">F297 * G297 * 0</f>
        <v>0</v>
      </c>
      <c r="J297" s="45">
        <f t="shared" ref="J297:J304" si="108">F297 * G297 * 0</f>
        <v>0</v>
      </c>
      <c r="K297" s="45">
        <f>F297 * G297 * 34.735236</f>
        <v>34.735236</v>
      </c>
      <c r="L297" s="45">
        <f>F297 * G297 * 7.478292</f>
        <v>7.4782919999999997</v>
      </c>
      <c r="M297" s="45">
        <f>F297 * G297 * 7.297318</f>
        <v>7.2973179999999997</v>
      </c>
      <c r="N297" s="46">
        <f t="shared" ref="N297:N304" si="109">SUM(H297:M297)</f>
        <v>85.997438000000002</v>
      </c>
      <c r="O297" s="93">
        <f t="shared" ref="O297:O304" si="110">N297*1.07*1.09*1.05</f>
        <v>105.31375253637003</v>
      </c>
      <c r="P297" s="33">
        <f t="shared" ref="P297:P304" si="111">IF($P$9&gt;0,O297/$P$9/12,0)</f>
        <v>1.6555642415954544E-3</v>
      </c>
    </row>
    <row r="298" spans="2:16" ht="30" x14ac:dyDescent="0.25">
      <c r="B298" s="26">
        <v>181</v>
      </c>
      <c r="C298" s="27" t="s">
        <v>680</v>
      </c>
      <c r="D298" s="28" t="s">
        <v>681</v>
      </c>
      <c r="E298" s="28" t="s">
        <v>660</v>
      </c>
      <c r="F298" s="29">
        <v>104</v>
      </c>
      <c r="G298" s="30">
        <v>4</v>
      </c>
      <c r="H298" s="45">
        <f>F298 * G298 * 20.24405</f>
        <v>8421.5248000000011</v>
      </c>
      <c r="I298" s="45">
        <f t="shared" si="107"/>
        <v>0</v>
      </c>
      <c r="J298" s="45">
        <f t="shared" si="108"/>
        <v>0</v>
      </c>
      <c r="K298" s="45">
        <f>F298 * G298 * 19.272336</f>
        <v>8017.291776</v>
      </c>
      <c r="L298" s="45">
        <f>F298 * G298 * 4.149221</f>
        <v>1726.075936</v>
      </c>
      <c r="M298" s="45">
        <f>F298 * G298 * 4.04881</f>
        <v>1684.3049599999999</v>
      </c>
      <c r="N298" s="46">
        <f t="shared" si="109"/>
        <v>19849.197472000003</v>
      </c>
      <c r="O298" s="93">
        <f t="shared" si="110"/>
        <v>24307.62496217329</v>
      </c>
      <c r="P298" s="33">
        <f t="shared" si="111"/>
        <v>0.3821232623117225</v>
      </c>
    </row>
    <row r="299" spans="2:16" ht="45" x14ac:dyDescent="0.25">
      <c r="B299" s="26">
        <v>182</v>
      </c>
      <c r="C299" s="27" t="s">
        <v>682</v>
      </c>
      <c r="D299" s="28" t="s">
        <v>683</v>
      </c>
      <c r="E299" s="28" t="s">
        <v>660</v>
      </c>
      <c r="F299" s="29">
        <v>1</v>
      </c>
      <c r="G299" s="30">
        <v>1</v>
      </c>
      <c r="H299" s="45">
        <f>F299 * G299 * 60.73215</f>
        <v>60.732149999999997</v>
      </c>
      <c r="I299" s="45">
        <f t="shared" si="107"/>
        <v>0</v>
      </c>
      <c r="J299" s="45">
        <f t="shared" si="108"/>
        <v>0</v>
      </c>
      <c r="K299" s="45">
        <f>F299 * G299 * 57.817006</f>
        <v>57.817005999999999</v>
      </c>
      <c r="L299" s="45">
        <f>F299 * G299 * 12.447662</f>
        <v>12.447661999999999</v>
      </c>
      <c r="M299" s="45">
        <f>F299 * G299 * 12.14643</f>
        <v>12.146430000000001</v>
      </c>
      <c r="N299" s="46">
        <f t="shared" si="109"/>
        <v>143.143248</v>
      </c>
      <c r="O299" s="93">
        <f t="shared" si="110"/>
        <v>175.29536864952001</v>
      </c>
      <c r="P299" s="33">
        <f t="shared" si="111"/>
        <v>2.7556965454555746E-3</v>
      </c>
    </row>
    <row r="300" spans="2:16" ht="45" x14ac:dyDescent="0.25">
      <c r="B300" s="26">
        <v>183</v>
      </c>
      <c r="C300" s="27" t="s">
        <v>684</v>
      </c>
      <c r="D300" s="28" t="s">
        <v>685</v>
      </c>
      <c r="E300" s="28" t="s">
        <v>667</v>
      </c>
      <c r="F300" s="29">
        <v>1</v>
      </c>
      <c r="G300" s="30">
        <v>1</v>
      </c>
      <c r="H300" s="45">
        <f>F300 * G300 * 174.09883</f>
        <v>174.09882999999999</v>
      </c>
      <c r="I300" s="45">
        <f t="shared" si="107"/>
        <v>0</v>
      </c>
      <c r="J300" s="45">
        <f t="shared" si="108"/>
        <v>0</v>
      </c>
      <c r="K300" s="45">
        <f>F300 * G300 * 165.742087</f>
        <v>165.742087</v>
      </c>
      <c r="L300" s="45">
        <f>F300 * G300 * 35.683297</f>
        <v>35.683297000000003</v>
      </c>
      <c r="M300" s="45">
        <f>F300 * G300 * 34.819766</f>
        <v>34.819766000000001</v>
      </c>
      <c r="N300" s="46">
        <f t="shared" si="109"/>
        <v>410.34397999999999</v>
      </c>
      <c r="O300" s="93">
        <f t="shared" si="110"/>
        <v>502.51339306770012</v>
      </c>
      <c r="P300" s="33">
        <f t="shared" si="111"/>
        <v>7.8996634765091511E-3</v>
      </c>
    </row>
    <row r="301" spans="2:16" ht="30" x14ac:dyDescent="0.25">
      <c r="B301" s="26">
        <v>184</v>
      </c>
      <c r="C301" s="27" t="s">
        <v>686</v>
      </c>
      <c r="D301" s="28" t="s">
        <v>687</v>
      </c>
      <c r="E301" s="28" t="s">
        <v>667</v>
      </c>
      <c r="F301" s="29">
        <v>1</v>
      </c>
      <c r="G301" s="30">
        <v>1</v>
      </c>
      <c r="H301" s="45">
        <f>F301 * G301 * 228.0412</f>
        <v>228.0412</v>
      </c>
      <c r="I301" s="45">
        <f t="shared" si="107"/>
        <v>0</v>
      </c>
      <c r="J301" s="45">
        <f t="shared" si="108"/>
        <v>0</v>
      </c>
      <c r="K301" s="45">
        <f>F301 * G301 * 217.095222</f>
        <v>217.09522200000001</v>
      </c>
      <c r="L301" s="45">
        <f>F301 * G301 * 46.739324</f>
        <v>46.739324000000003</v>
      </c>
      <c r="M301" s="45">
        <f>F301 * G301 * 45.60824</f>
        <v>45.608240000000002</v>
      </c>
      <c r="N301" s="46">
        <f t="shared" si="109"/>
        <v>537.48398600000007</v>
      </c>
      <c r="O301" s="93">
        <f t="shared" si="110"/>
        <v>658.21095151539021</v>
      </c>
      <c r="P301" s="33">
        <f t="shared" si="111"/>
        <v>1.0347276481094608E-2</v>
      </c>
    </row>
    <row r="302" spans="2:16" ht="30" x14ac:dyDescent="0.25">
      <c r="B302" s="26">
        <v>185</v>
      </c>
      <c r="C302" s="27" t="s">
        <v>688</v>
      </c>
      <c r="D302" s="28" t="s">
        <v>689</v>
      </c>
      <c r="E302" s="28" t="s">
        <v>660</v>
      </c>
      <c r="F302" s="29">
        <v>1</v>
      </c>
      <c r="G302" s="30">
        <v>1</v>
      </c>
      <c r="H302" s="45">
        <f>F302 * G302 * 45.60824</f>
        <v>45.608240000000002</v>
      </c>
      <c r="I302" s="45">
        <f t="shared" si="107"/>
        <v>0</v>
      </c>
      <c r="J302" s="45">
        <f t="shared" si="108"/>
        <v>0</v>
      </c>
      <c r="K302" s="45">
        <f>F302 * G302 * 43.419044</f>
        <v>43.419044</v>
      </c>
      <c r="L302" s="45">
        <f>F302 * G302 * 9.347864</f>
        <v>9.3478639999999995</v>
      </c>
      <c r="M302" s="45">
        <f>F302 * G302 * 9.121648</f>
        <v>9.1216480000000004</v>
      </c>
      <c r="N302" s="46">
        <f t="shared" si="109"/>
        <v>107.49679600000002</v>
      </c>
      <c r="O302" s="93">
        <f t="shared" si="110"/>
        <v>131.64218883354005</v>
      </c>
      <c r="P302" s="33">
        <f t="shared" si="111"/>
        <v>2.0694552731173369E-3</v>
      </c>
    </row>
    <row r="303" spans="2:16" ht="30" x14ac:dyDescent="0.25">
      <c r="B303" s="26">
        <v>186</v>
      </c>
      <c r="C303" s="27" t="s">
        <v>690</v>
      </c>
      <c r="D303" s="28" t="s">
        <v>691</v>
      </c>
      <c r="E303" s="28" t="s">
        <v>660</v>
      </c>
      <c r="F303" s="29">
        <v>1</v>
      </c>
      <c r="G303" s="30">
        <v>1</v>
      </c>
      <c r="H303" s="45">
        <f>F303 * G303 * 164.189664</f>
        <v>164.18966399999999</v>
      </c>
      <c r="I303" s="45">
        <f t="shared" si="107"/>
        <v>0</v>
      </c>
      <c r="J303" s="45">
        <f t="shared" si="108"/>
        <v>0</v>
      </c>
      <c r="K303" s="45">
        <f>F303 * G303 * 156.308561</f>
        <v>156.308561</v>
      </c>
      <c r="L303" s="45">
        <f>F303 * G303 * 33.652313</f>
        <v>33.652312999999999</v>
      </c>
      <c r="M303" s="45">
        <f>F303 * G303 * 32.837933</f>
        <v>32.837933</v>
      </c>
      <c r="N303" s="46">
        <f t="shared" si="109"/>
        <v>386.988471</v>
      </c>
      <c r="O303" s="93">
        <f t="shared" si="110"/>
        <v>473.91188641366506</v>
      </c>
      <c r="P303" s="33">
        <f t="shared" si="111"/>
        <v>7.4500390871795425E-3</v>
      </c>
    </row>
    <row r="304" spans="2:16" ht="30" x14ac:dyDescent="0.25">
      <c r="B304" s="26">
        <v>187</v>
      </c>
      <c r="C304" s="27" t="s">
        <v>692</v>
      </c>
      <c r="D304" s="28" t="s">
        <v>693</v>
      </c>
      <c r="E304" s="28" t="s">
        <v>660</v>
      </c>
      <c r="F304" s="29">
        <v>1</v>
      </c>
      <c r="G304" s="30">
        <v>1</v>
      </c>
      <c r="H304" s="45">
        <f>F304 * G304 * 36.486592</f>
        <v>36.486592000000002</v>
      </c>
      <c r="I304" s="45">
        <f t="shared" si="107"/>
        <v>0</v>
      </c>
      <c r="J304" s="45">
        <f t="shared" si="108"/>
        <v>0</v>
      </c>
      <c r="K304" s="45">
        <f>F304 * G304 * 34.735236</f>
        <v>34.735236</v>
      </c>
      <c r="L304" s="45">
        <f>F304 * G304 * 7.478292</f>
        <v>7.4782919999999997</v>
      </c>
      <c r="M304" s="45">
        <f>F304 * G304 * 7.297318</f>
        <v>7.2973179999999997</v>
      </c>
      <c r="N304" s="46">
        <f t="shared" si="109"/>
        <v>85.997438000000002</v>
      </c>
      <c r="O304" s="93">
        <f t="shared" si="110"/>
        <v>105.31375253637003</v>
      </c>
      <c r="P304" s="33">
        <f t="shared" si="111"/>
        <v>1.6555642415954544E-3</v>
      </c>
    </row>
    <row r="305" spans="2:16" ht="13.9" customHeight="1" x14ac:dyDescent="0.25">
      <c r="B305" s="23"/>
      <c r="C305" s="24" t="s">
        <v>694</v>
      </c>
      <c r="D305" s="100" t="s">
        <v>695</v>
      </c>
      <c r="E305" s="100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</row>
    <row r="306" spans="2:16" x14ac:dyDescent="0.25">
      <c r="B306" s="35"/>
      <c r="C306" s="36" t="s">
        <v>696</v>
      </c>
      <c r="D306" s="96" t="s">
        <v>697</v>
      </c>
      <c r="E306" s="96"/>
      <c r="F306" s="96"/>
      <c r="G306" s="96"/>
      <c r="H306" s="96"/>
      <c r="I306" s="96"/>
      <c r="J306" s="96"/>
      <c r="K306" s="96"/>
      <c r="L306" s="96"/>
      <c r="M306" s="96"/>
      <c r="N306" s="96"/>
      <c r="O306" s="96"/>
      <c r="P306" s="96"/>
    </row>
    <row r="307" spans="2:16" ht="105" x14ac:dyDescent="0.25">
      <c r="B307" s="26">
        <v>188</v>
      </c>
      <c r="C307" s="27" t="s">
        <v>698</v>
      </c>
      <c r="D307" s="28" t="s">
        <v>699</v>
      </c>
      <c r="E307" s="28" t="s">
        <v>700</v>
      </c>
      <c r="F307" s="29">
        <v>1</v>
      </c>
      <c r="G307" s="30">
        <v>3</v>
      </c>
      <c r="H307" s="45">
        <f>F307 * G307 * 1873.663308</f>
        <v>5620.9899239999995</v>
      </c>
      <c r="I307" s="45">
        <f>F307 * G307 * 0</f>
        <v>0</v>
      </c>
      <c r="J307" s="45">
        <f>F307 * G307 * 0</f>
        <v>0</v>
      </c>
      <c r="K307" s="45">
        <f>F307 * G307 * 1783.727469</f>
        <v>5351.1824070000002</v>
      </c>
      <c r="L307" s="45">
        <f>F307 * G307 * 384.026032</f>
        <v>1152.078096</v>
      </c>
      <c r="M307" s="45">
        <f>F307 * G307 * 374.732662</f>
        <v>1124.1979860000001</v>
      </c>
      <c r="N307" s="46">
        <f>SUM(H307:M307)</f>
        <v>13248.448412999998</v>
      </c>
      <c r="O307" s="93">
        <f t="shared" ref="O307" si="112">N307*1.07*1.09*1.05</f>
        <v>16224.248653285995</v>
      </c>
      <c r="P307" s="33">
        <f>IF($P$9&gt;0,O307/$P$9/12,0)</f>
        <v>0.25505012660010679</v>
      </c>
    </row>
    <row r="308" spans="2:16" ht="13.9" customHeight="1" x14ac:dyDescent="0.25">
      <c r="B308" s="97" t="s">
        <v>371</v>
      </c>
      <c r="C308" s="97"/>
      <c r="D308" s="97"/>
      <c r="E308" s="97"/>
      <c r="F308" s="97"/>
      <c r="G308" s="97"/>
      <c r="H308" s="47">
        <f t="shared" ref="H308:P308" si="113">SUM(H202:H307)</f>
        <v>155577.95270044004</v>
      </c>
      <c r="I308" s="47">
        <f t="shared" si="113"/>
        <v>153999.04204253005</v>
      </c>
      <c r="J308" s="47">
        <f t="shared" si="113"/>
        <v>602.37573759999998</v>
      </c>
      <c r="K308" s="47">
        <f t="shared" si="113"/>
        <v>148347.35216829006</v>
      </c>
      <c r="L308" s="47">
        <f t="shared" si="113"/>
        <v>48145.306210340015</v>
      </c>
      <c r="M308" s="47">
        <f t="shared" si="113"/>
        <v>31165.410076050008</v>
      </c>
      <c r="N308" s="47">
        <f t="shared" si="113"/>
        <v>537837.43893525028</v>
      </c>
      <c r="O308" s="47">
        <f t="shared" si="113"/>
        <v>658643.79528169148</v>
      </c>
      <c r="P308" s="48">
        <f t="shared" si="113"/>
        <v>10.354080916834736</v>
      </c>
    </row>
    <row r="309" spans="2:16" x14ac:dyDescent="0.25">
      <c r="B309" s="98" t="s">
        <v>701</v>
      </c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102"/>
      <c r="N309" s="102"/>
      <c r="O309" s="41"/>
      <c r="P309" s="42"/>
    </row>
    <row r="310" spans="2:16" x14ac:dyDescent="0.25">
      <c r="B310" s="98"/>
      <c r="C310" s="98"/>
      <c r="D310" s="98"/>
      <c r="E310" s="98"/>
      <c r="F310" s="98"/>
      <c r="G310" s="98"/>
      <c r="H310" s="98"/>
      <c r="I310" s="98"/>
      <c r="J310" s="98"/>
      <c r="K310" s="98"/>
      <c r="L310" s="98"/>
      <c r="M310" s="103"/>
      <c r="N310" s="103"/>
      <c r="O310" s="43"/>
      <c r="P310" s="44"/>
    </row>
    <row r="311" spans="2:16" ht="13.9" customHeight="1" x14ac:dyDescent="0.25">
      <c r="B311" s="23"/>
      <c r="C311" s="24" t="s">
        <v>702</v>
      </c>
      <c r="D311" s="100" t="s">
        <v>703</v>
      </c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</row>
    <row r="312" spans="2:16" x14ac:dyDescent="0.25">
      <c r="B312" s="35"/>
      <c r="C312" s="36" t="s">
        <v>704</v>
      </c>
      <c r="D312" s="96" t="s">
        <v>705</v>
      </c>
      <c r="E312" s="96"/>
      <c r="F312" s="96"/>
      <c r="G312" s="96"/>
      <c r="H312" s="96"/>
      <c r="I312" s="96"/>
      <c r="J312" s="96"/>
      <c r="K312" s="96"/>
      <c r="L312" s="96"/>
      <c r="M312" s="96"/>
      <c r="N312" s="96"/>
      <c r="O312" s="96"/>
      <c r="P312" s="96"/>
    </row>
    <row r="313" spans="2:16" x14ac:dyDescent="0.25">
      <c r="B313" s="35"/>
      <c r="C313" s="36" t="s">
        <v>706</v>
      </c>
      <c r="D313" s="104" t="s">
        <v>707</v>
      </c>
      <c r="E313" s="104"/>
      <c r="F313" s="10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</row>
    <row r="314" spans="2:16" ht="30" x14ac:dyDescent="0.25">
      <c r="B314" s="26">
        <v>189</v>
      </c>
      <c r="C314" s="27" t="s">
        <v>708</v>
      </c>
      <c r="D314" s="28" t="s">
        <v>709</v>
      </c>
      <c r="E314" s="28" t="s">
        <v>514</v>
      </c>
      <c r="F314" s="29">
        <v>1.9400000000000001E-2</v>
      </c>
      <c r="G314" s="30">
        <v>1</v>
      </c>
      <c r="H314" s="45">
        <f>F314 * G314 * 13358.74475</f>
        <v>259.15964815000001</v>
      </c>
      <c r="I314" s="45">
        <f>F314 * G314 * 44990.439358</f>
        <v>872.81452354520013</v>
      </c>
      <c r="J314" s="45">
        <f>F314 * G314 * 0</f>
        <v>0</v>
      </c>
      <c r="K314" s="45">
        <f>F314 * G314 * 12717.525002</f>
        <v>246.71998503880002</v>
      </c>
      <c r="L314" s="45">
        <f>F314 * G314 * 7462.004457</f>
        <v>144.76288646579999</v>
      </c>
      <c r="M314" s="45">
        <f>F314 * G314 * 2671.74895</f>
        <v>51.831929630000005</v>
      </c>
      <c r="N314" s="46">
        <f>SUM(H314:M314)</f>
        <v>1575.2889728298001</v>
      </c>
      <c r="O314" s="93">
        <f t="shared" ref="O314:O318" si="114">N314*1.07*1.09*1.05</f>
        <v>1929.1225054619661</v>
      </c>
      <c r="P314" s="33">
        <f t="shared" ref="P314:P318" si="115">IF($P$9&gt;0,O314/$P$9/12,0)</f>
        <v>3.0326392904828744E-2</v>
      </c>
    </row>
    <row r="315" spans="2:16" ht="30" x14ac:dyDescent="0.25">
      <c r="B315" s="26">
        <v>190</v>
      </c>
      <c r="C315" s="27" t="s">
        <v>710</v>
      </c>
      <c r="D315" s="28" t="s">
        <v>711</v>
      </c>
      <c r="E315" s="28" t="s">
        <v>514</v>
      </c>
      <c r="F315" s="29">
        <v>1.9400000000000001E-2</v>
      </c>
      <c r="G315" s="30">
        <v>1</v>
      </c>
      <c r="H315" s="45">
        <f>F315 * G315 * 14386.3405</f>
        <v>279.0950057</v>
      </c>
      <c r="I315" s="45">
        <f>F315 * G315 * 60120.051358</f>
        <v>1166.3289963452</v>
      </c>
      <c r="J315" s="45">
        <f>F315 * G315 * 0</f>
        <v>0</v>
      </c>
      <c r="K315" s="45">
        <f>F315 * G315 * 13695.796156</f>
        <v>265.69844542640004</v>
      </c>
      <c r="L315" s="45">
        <f>F315 * G315 * 9261.229741</f>
        <v>179.66785697539999</v>
      </c>
      <c r="M315" s="45">
        <f>F315 * G315 * 2877.2681</f>
        <v>55.819001139999997</v>
      </c>
      <c r="N315" s="46">
        <f>SUM(H315:M315)</f>
        <v>1946.6093055869999</v>
      </c>
      <c r="O315" s="93">
        <f t="shared" si="114"/>
        <v>2383.8469547614245</v>
      </c>
      <c r="P315" s="33">
        <f t="shared" si="115"/>
        <v>3.7474799640970641E-2</v>
      </c>
    </row>
    <row r="316" spans="2:16" ht="30" x14ac:dyDescent="0.25">
      <c r="B316" s="26">
        <v>191</v>
      </c>
      <c r="C316" s="27" t="s">
        <v>712</v>
      </c>
      <c r="D316" s="28" t="s">
        <v>713</v>
      </c>
      <c r="E316" s="28" t="s">
        <v>514</v>
      </c>
      <c r="F316" s="29">
        <v>1.4500000000000001E-2</v>
      </c>
      <c r="G316" s="30">
        <v>1</v>
      </c>
      <c r="H316" s="45">
        <f>F316 * G316 * 21298.898063</f>
        <v>308.83402191350001</v>
      </c>
      <c r="I316" s="45">
        <f>F316 * G316 * 78125.550441</f>
        <v>1132.8204813945001</v>
      </c>
      <c r="J316" s="45">
        <f>F316 * G316 * 0</f>
        <v>0</v>
      </c>
      <c r="K316" s="45">
        <f>F316 * G316 * 20276.550956</f>
        <v>294.009988862</v>
      </c>
      <c r="L316" s="45">
        <f>F316 * G316 * 12568.604943</f>
        <v>182.24477167350003</v>
      </c>
      <c r="M316" s="45">
        <f>F316 * G316 * 4259.779613</f>
        <v>61.766804388499999</v>
      </c>
      <c r="N316" s="46">
        <f>SUM(H316:M316)</f>
        <v>1979.6760682320003</v>
      </c>
      <c r="O316" s="93">
        <f t="shared" si="114"/>
        <v>2424.3410082979317</v>
      </c>
      <c r="P316" s="33">
        <f t="shared" si="115"/>
        <v>3.811137848673099E-2</v>
      </c>
    </row>
    <row r="317" spans="2:16" ht="30" x14ac:dyDescent="0.25">
      <c r="B317" s="26">
        <v>192</v>
      </c>
      <c r="C317" s="27" t="s">
        <v>714</v>
      </c>
      <c r="D317" s="28" t="s">
        <v>715</v>
      </c>
      <c r="E317" s="28" t="s">
        <v>514</v>
      </c>
      <c r="F317" s="29">
        <v>1.4500000000000001E-2</v>
      </c>
      <c r="G317" s="30">
        <v>1</v>
      </c>
      <c r="H317" s="45">
        <f>F317 * G317 * 24377.507179</f>
        <v>353.47385409550003</v>
      </c>
      <c r="I317" s="45">
        <f>F317 * G317 * 88503.187249</f>
        <v>1283.2962151105</v>
      </c>
      <c r="J317" s="45">
        <f>F317 * G317 * 0</f>
        <v>0</v>
      </c>
      <c r="K317" s="45">
        <f>F317 * G317 * 23207.386834</f>
        <v>336.50710909300005</v>
      </c>
      <c r="L317" s="45">
        <f>F317 * G317 * 14289.248532</f>
        <v>207.19410371399999</v>
      </c>
      <c r="M317" s="45">
        <f>F317 * G317 * 4875.501436</f>
        <v>70.694770821999995</v>
      </c>
      <c r="N317" s="46">
        <f>SUM(H317:M317)</f>
        <v>2251.1660528349998</v>
      </c>
      <c r="O317" s="93">
        <f t="shared" si="114"/>
        <v>2756.811715792534</v>
      </c>
      <c r="P317" s="33">
        <f t="shared" si="115"/>
        <v>4.3337919194374241E-2</v>
      </c>
    </row>
    <row r="318" spans="2:16" ht="30" x14ac:dyDescent="0.25">
      <c r="B318" s="26">
        <v>193</v>
      </c>
      <c r="C318" s="27" t="s">
        <v>716</v>
      </c>
      <c r="D318" s="28" t="s">
        <v>717</v>
      </c>
      <c r="E318" s="28" t="s">
        <v>514</v>
      </c>
      <c r="F318" s="29">
        <v>1.9400000000000001E-2</v>
      </c>
      <c r="G318" s="30">
        <v>1</v>
      </c>
      <c r="H318" s="45">
        <f>F318 * G318 * 31707.494462</f>
        <v>615.12539256280002</v>
      </c>
      <c r="I318" s="45">
        <f>F318 * G318 * 113281.790876</f>
        <v>2197.6667429944</v>
      </c>
      <c r="J318" s="45">
        <f>F318 * G318 * 0</f>
        <v>0</v>
      </c>
      <c r="K318" s="45">
        <f>F318 * G318 * 30185.534728</f>
        <v>585.59937372319996</v>
      </c>
      <c r="L318" s="45">
        <f>F318 * G318 * 18393.356107</f>
        <v>356.83110847580002</v>
      </c>
      <c r="M318" s="45">
        <f>F318 * G318 * 6341.498892</f>
        <v>123.02507850479999</v>
      </c>
      <c r="N318" s="46">
        <f>SUM(H318:M318)</f>
        <v>3878.2476962610003</v>
      </c>
      <c r="O318" s="93">
        <f t="shared" si="114"/>
        <v>4749.3603025566654</v>
      </c>
      <c r="P318" s="33">
        <f t="shared" si="115"/>
        <v>7.4661389400689573E-2</v>
      </c>
    </row>
    <row r="319" spans="2:16" x14ac:dyDescent="0.25">
      <c r="B319" s="35"/>
      <c r="C319" s="36" t="s">
        <v>718</v>
      </c>
      <c r="D319" s="104" t="s">
        <v>719</v>
      </c>
      <c r="E319" s="104"/>
      <c r="F319" s="10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</row>
    <row r="320" spans="2:16" ht="60" x14ac:dyDescent="0.25">
      <c r="B320" s="26">
        <v>194</v>
      </c>
      <c r="C320" s="27" t="s">
        <v>720</v>
      </c>
      <c r="D320" s="28" t="s">
        <v>721</v>
      </c>
      <c r="E320" s="28" t="s">
        <v>722</v>
      </c>
      <c r="F320" s="29">
        <v>3.7056</v>
      </c>
      <c r="G320" s="30">
        <v>1</v>
      </c>
      <c r="H320" s="45">
        <f>F320 * G320 * 367.146332</f>
        <v>1360.4974478591998</v>
      </c>
      <c r="I320" s="45">
        <f>F320 * G320 * 271.086667</f>
        <v>1004.5387532351999</v>
      </c>
      <c r="J320" s="45">
        <f>F320 * G320 * 0</f>
        <v>0</v>
      </c>
      <c r="K320" s="45">
        <f>F320 * G320 * 349.523308</f>
        <v>1295.1935701247999</v>
      </c>
      <c r="L320" s="45">
        <f>F320 * G320 * 103.714413</f>
        <v>384.32412881279998</v>
      </c>
      <c r="M320" s="45">
        <f>F320 * G320 * 73.429266</f>
        <v>272.09948808960002</v>
      </c>
      <c r="N320" s="46">
        <f>SUM(H320:M320)</f>
        <v>4316.6533881216001</v>
      </c>
      <c r="O320" s="93">
        <f t="shared" ref="O320:O322" si="116">N320*1.07*1.09*1.05</f>
        <v>5286.2384888945344</v>
      </c>
      <c r="P320" s="33">
        <f t="shared" ref="P320:P322" si="117">IF($P$9&gt;0,O320/$P$9/12,0)</f>
        <v>8.3101277886161964E-2</v>
      </c>
    </row>
    <row r="321" spans="2:16" ht="60" x14ac:dyDescent="0.25">
      <c r="B321" s="26">
        <v>195</v>
      </c>
      <c r="C321" s="27" t="s">
        <v>723</v>
      </c>
      <c r="D321" s="28" t="s">
        <v>724</v>
      </c>
      <c r="E321" s="28" t="s">
        <v>722</v>
      </c>
      <c r="F321" s="29">
        <v>1.9584999999999999</v>
      </c>
      <c r="G321" s="30">
        <v>1</v>
      </c>
      <c r="H321" s="45">
        <f>F321 * G321 * 396.791688</f>
        <v>777.11652094800002</v>
      </c>
      <c r="I321" s="45">
        <f>F321 * G321 * 358.546694</f>
        <v>702.21370019899996</v>
      </c>
      <c r="J321" s="45">
        <f>F321 * G321 * 0</f>
        <v>0</v>
      </c>
      <c r="K321" s="45">
        <f>F321 * G321 * 377.745687</f>
        <v>739.81492798949989</v>
      </c>
      <c r="L321" s="45">
        <f>F321 * G321 * 118.973827</f>
        <v>233.01024017949999</v>
      </c>
      <c r="M321" s="45">
        <f>F321 * G321 * 79.358338</f>
        <v>155.423304973</v>
      </c>
      <c r="N321" s="46">
        <f>SUM(H321:M321)</f>
        <v>2607.5786942889999</v>
      </c>
      <c r="O321" s="93">
        <f t="shared" si="116"/>
        <v>3193.2799827067242</v>
      </c>
      <c r="P321" s="33">
        <f t="shared" si="117"/>
        <v>5.0199333187240208E-2</v>
      </c>
    </row>
    <row r="322" spans="2:16" ht="60" x14ac:dyDescent="0.25">
      <c r="B322" s="26">
        <v>196</v>
      </c>
      <c r="C322" s="27" t="s">
        <v>725</v>
      </c>
      <c r="D322" s="28" t="s">
        <v>726</v>
      </c>
      <c r="E322" s="28" t="s">
        <v>722</v>
      </c>
      <c r="F322" s="29">
        <v>3.5358999999999998</v>
      </c>
      <c r="G322" s="30">
        <v>1</v>
      </c>
      <c r="H322" s="45">
        <f>F322 * G322 * 417.315396</f>
        <v>1475.5855087164</v>
      </c>
      <c r="I322" s="45">
        <f>F322 * G322 * 458.930671</f>
        <v>1622.7329595889</v>
      </c>
      <c r="J322" s="45">
        <f>F322 * G322 * 0</f>
        <v>0</v>
      </c>
      <c r="K322" s="45">
        <f>F322 * G322 * 397.284257</f>
        <v>1404.7574043263</v>
      </c>
      <c r="L322" s="45">
        <f>F322 * G322 * 133.720684</f>
        <v>472.82296655559998</v>
      </c>
      <c r="M322" s="45">
        <f>F322 * G322 * 83.463079</f>
        <v>295.11710103609994</v>
      </c>
      <c r="N322" s="46">
        <f>SUM(H322:M322)</f>
        <v>5271.0159402233003</v>
      </c>
      <c r="O322" s="93">
        <f t="shared" si="116"/>
        <v>6454.9651856365581</v>
      </c>
      <c r="P322" s="33">
        <f t="shared" si="117"/>
        <v>0.10147401725518075</v>
      </c>
    </row>
    <row r="323" spans="2:16" x14ac:dyDescent="0.25">
      <c r="B323" s="35"/>
      <c r="C323" s="36" t="s">
        <v>727</v>
      </c>
      <c r="D323" s="96" t="s">
        <v>728</v>
      </c>
      <c r="E323" s="96"/>
      <c r="F323" s="96"/>
      <c r="G323" s="96"/>
      <c r="H323" s="96"/>
      <c r="I323" s="96"/>
      <c r="J323" s="96"/>
      <c r="K323" s="96"/>
      <c r="L323" s="96"/>
      <c r="M323" s="96"/>
      <c r="N323" s="96"/>
      <c r="O323" s="96"/>
      <c r="P323" s="96"/>
    </row>
    <row r="324" spans="2:16" x14ac:dyDescent="0.25">
      <c r="B324" s="35"/>
      <c r="C324" s="36" t="s">
        <v>729</v>
      </c>
      <c r="D324" s="104" t="s">
        <v>730</v>
      </c>
      <c r="E324" s="104"/>
      <c r="F324" s="10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</row>
    <row r="325" spans="2:16" ht="30" x14ac:dyDescent="0.25">
      <c r="B325" s="26">
        <v>197</v>
      </c>
      <c r="C325" s="27" t="s">
        <v>731</v>
      </c>
      <c r="D325" s="28" t="s">
        <v>732</v>
      </c>
      <c r="E325" s="28" t="s">
        <v>733</v>
      </c>
      <c r="F325" s="29">
        <v>2.8299999999999999E-2</v>
      </c>
      <c r="G325" s="30">
        <v>1</v>
      </c>
      <c r="H325" s="45">
        <f>F325 * G325 * 22607.1065</f>
        <v>639.78111395000008</v>
      </c>
      <c r="I325" s="45">
        <f>F325 * G325 * 774225.380288</f>
        <v>21910.5782621504</v>
      </c>
      <c r="J325" s="45">
        <f>F325 * G325 * 0</f>
        <v>0</v>
      </c>
      <c r="K325" s="45">
        <f>F325 * G325 * 21521.965388</f>
        <v>609.07162048040004</v>
      </c>
      <c r="L325" s="45">
        <f>F325 * G325 * 85927.217479</f>
        <v>2431.7402546557</v>
      </c>
      <c r="M325" s="45">
        <f>F325 * G325 * 4521.4213</f>
        <v>127.95622279</v>
      </c>
      <c r="N325" s="46">
        <f>SUM(H325:M325)</f>
        <v>25719.1274740265</v>
      </c>
      <c r="O325" s="93">
        <f t="shared" ref="O325:O327" si="118">N325*1.07*1.09*1.05</f>
        <v>31496.029291604969</v>
      </c>
      <c r="P325" s="33">
        <f t="shared" ref="P325:P327" si="119">IF($P$9&gt;0,O325/$P$9/12,0)</f>
        <v>0.49512716612596636</v>
      </c>
    </row>
    <row r="326" spans="2:16" x14ac:dyDescent="0.25">
      <c r="B326" s="26">
        <v>198</v>
      </c>
      <c r="C326" s="27" t="s">
        <v>734</v>
      </c>
      <c r="D326" s="28" t="s">
        <v>735</v>
      </c>
      <c r="E326" s="28" t="s">
        <v>736</v>
      </c>
      <c r="F326" s="29">
        <v>0.02</v>
      </c>
      <c r="G326" s="30">
        <v>1</v>
      </c>
      <c r="H326" s="45">
        <f>F326 * G326 * 16573.54545</f>
        <v>331.47090900000006</v>
      </c>
      <c r="I326" s="45">
        <f>F326 * G326 * 84616.663334</f>
        <v>1692.33326668</v>
      </c>
      <c r="J326" s="45">
        <f>F326 * G326 * 0</f>
        <v>0</v>
      </c>
      <c r="K326" s="45">
        <f>F326 * G326 * 15778.015269</f>
        <v>315.56030537999999</v>
      </c>
      <c r="L326" s="45">
        <f>F326 * G326 * 12281.663525</f>
        <v>245.63327050000001</v>
      </c>
      <c r="M326" s="45">
        <f>F326 * G326 * 3314.70909</f>
        <v>66.294181800000004</v>
      </c>
      <c r="N326" s="46">
        <f>SUM(H326:M326)</f>
        <v>2651.2919333599998</v>
      </c>
      <c r="O326" s="93">
        <f t="shared" si="118"/>
        <v>3246.8118709716568</v>
      </c>
      <c r="P326" s="33">
        <f t="shared" si="119"/>
        <v>5.1040870762932421E-2</v>
      </c>
    </row>
    <row r="327" spans="2:16" x14ac:dyDescent="0.25">
      <c r="B327" s="26">
        <v>199</v>
      </c>
      <c r="C327" s="27" t="s">
        <v>737</v>
      </c>
      <c r="D327" s="28" t="s">
        <v>738</v>
      </c>
      <c r="E327" s="28" t="s">
        <v>736</v>
      </c>
      <c r="F327" s="29">
        <v>0.02</v>
      </c>
      <c r="G327" s="30">
        <v>1</v>
      </c>
      <c r="H327" s="45">
        <f>F327 * G327 * 16573.54545</f>
        <v>331.47090900000006</v>
      </c>
      <c r="I327" s="45">
        <f>F327 * G327 * 99554.323334</f>
        <v>1991.0864666800001</v>
      </c>
      <c r="J327" s="45">
        <f>F327 * G327 * 0</f>
        <v>0</v>
      </c>
      <c r="K327" s="45">
        <f>F327 * G327 * 15778.015269</f>
        <v>315.56030537999999</v>
      </c>
      <c r="L327" s="45">
        <f>F327 * G327 * 13850.117825</f>
        <v>277.00235650000002</v>
      </c>
      <c r="M327" s="45">
        <f>F327 * G327 * 3314.70909</f>
        <v>66.294181800000004</v>
      </c>
      <c r="N327" s="46">
        <f>SUM(H327:M327)</f>
        <v>2981.4142193600001</v>
      </c>
      <c r="O327" s="93">
        <f t="shared" si="118"/>
        <v>3651.0845742415468</v>
      </c>
      <c r="P327" s="33">
        <f t="shared" si="119"/>
        <v>5.7396160696748209E-2</v>
      </c>
    </row>
    <row r="328" spans="2:16" x14ac:dyDescent="0.25">
      <c r="B328" s="35"/>
      <c r="C328" s="36" t="s">
        <v>739</v>
      </c>
      <c r="D328" s="104" t="s">
        <v>740</v>
      </c>
      <c r="E328" s="104"/>
      <c r="F328" s="10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</row>
    <row r="329" spans="2:16" ht="30" x14ac:dyDescent="0.25">
      <c r="B329" s="26">
        <v>200</v>
      </c>
      <c r="C329" s="27" t="s">
        <v>741</v>
      </c>
      <c r="D329" s="28" t="s">
        <v>742</v>
      </c>
      <c r="E329" s="28" t="s">
        <v>736</v>
      </c>
      <c r="F329" s="29">
        <v>0.01</v>
      </c>
      <c r="G329" s="30">
        <v>1</v>
      </c>
      <c r="H329" s="45">
        <f>F329 * G329 * 12268.72845</f>
        <v>122.6872845</v>
      </c>
      <c r="I329" s="45">
        <f>F329 * G329 * 98299.253941</f>
        <v>982.99253941000006</v>
      </c>
      <c r="J329" s="45">
        <f>F329 * G329 * 0</f>
        <v>0</v>
      </c>
      <c r="K329" s="45">
        <f>F329 * G329 * 11679.829485</f>
        <v>116.79829485</v>
      </c>
      <c r="L329" s="45">
        <f>F329 * G329 * 12836.020247</f>
        <v>128.36020247000002</v>
      </c>
      <c r="M329" s="45">
        <f>F329 * G329 * 2453.74569</f>
        <v>24.537456900000002</v>
      </c>
      <c r="N329" s="46">
        <f>SUM(H329:M329)</f>
        <v>1375.3757781300003</v>
      </c>
      <c r="O329" s="93">
        <f t="shared" ref="O329:O330" si="120">N329*1.07*1.09*1.05</f>
        <v>1684.3058085346704</v>
      </c>
      <c r="P329" s="33">
        <f t="shared" ref="P329:P330" si="121">IF($P$9&gt;0,O329/$P$9/12,0)</f>
        <v>2.647779992037148E-2</v>
      </c>
    </row>
    <row r="330" spans="2:16" x14ac:dyDescent="0.25">
      <c r="B330" s="26">
        <v>201</v>
      </c>
      <c r="C330" s="27" t="s">
        <v>743</v>
      </c>
      <c r="D330" s="28" t="s">
        <v>744</v>
      </c>
      <c r="E330" s="28" t="s">
        <v>736</v>
      </c>
      <c r="F330" s="29">
        <v>0.01</v>
      </c>
      <c r="G330" s="30">
        <v>1</v>
      </c>
      <c r="H330" s="45">
        <f>F330 * G330 * 12268.72845</f>
        <v>122.6872845</v>
      </c>
      <c r="I330" s="45">
        <f>F330 * G330 * 83361.593941</f>
        <v>833.61593941000001</v>
      </c>
      <c r="J330" s="45">
        <f>F330 * G330 * 0</f>
        <v>0</v>
      </c>
      <c r="K330" s="45">
        <f>F330 * G330 * 11679.829485</f>
        <v>116.79829485</v>
      </c>
      <c r="L330" s="45">
        <f>F330 * G330 * 11267.565947</f>
        <v>112.67565947</v>
      </c>
      <c r="M330" s="45">
        <f>F330 * G330 * 2453.74569</f>
        <v>24.537456900000002</v>
      </c>
      <c r="N330" s="46">
        <f>SUM(H330:M330)</f>
        <v>1210.3146351300002</v>
      </c>
      <c r="O330" s="93">
        <f t="shared" si="120"/>
        <v>1482.1694568997254</v>
      </c>
      <c r="P330" s="33">
        <f t="shared" si="121"/>
        <v>2.3300154953463586E-2</v>
      </c>
    </row>
    <row r="331" spans="2:16" x14ac:dyDescent="0.25">
      <c r="B331" s="35"/>
      <c r="C331" s="36" t="s">
        <v>745</v>
      </c>
      <c r="D331" s="104" t="s">
        <v>746</v>
      </c>
      <c r="E331" s="104"/>
      <c r="F331" s="10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</row>
    <row r="332" spans="2:16" ht="30" x14ac:dyDescent="0.25">
      <c r="B332" s="26">
        <v>202</v>
      </c>
      <c r="C332" s="27" t="s">
        <v>747</v>
      </c>
      <c r="D332" s="28" t="s">
        <v>748</v>
      </c>
      <c r="E332" s="28" t="s">
        <v>749</v>
      </c>
      <c r="F332" s="29">
        <v>0.67</v>
      </c>
      <c r="G332" s="30">
        <v>1</v>
      </c>
      <c r="H332" s="45">
        <f>F332 * G332 * 59031.6498</f>
        <v>39551.205366000002</v>
      </c>
      <c r="I332" s="45">
        <f>F332 * G332 * 1997.016859</f>
        <v>1338.0012955300001</v>
      </c>
      <c r="J332" s="45">
        <f>F332 * G332 * 0</f>
        <v>0</v>
      </c>
      <c r="K332" s="45">
        <f>F332 * G332 * 56198.13061</f>
        <v>37652.747508700006</v>
      </c>
      <c r="L332" s="45">
        <f>F332 * G332 * 12308.813713</f>
        <v>8246.905187710001</v>
      </c>
      <c r="M332" s="45">
        <f>F332 * G332 * 11806.32996</f>
        <v>7910.2410731999998</v>
      </c>
      <c r="N332" s="46">
        <f>SUM(H332:M332)</f>
        <v>94699.100431140003</v>
      </c>
      <c r="O332" s="93">
        <f t="shared" ref="O332:O333" si="122">N332*1.07*1.09*1.05</f>
        <v>115969.93887448053</v>
      </c>
      <c r="P332" s="33">
        <f t="shared" ref="P332:P333" si="123">IF($P$9&gt;0,O332/$P$9/12,0)</f>
        <v>1.8230827339885638</v>
      </c>
    </row>
    <row r="333" spans="2:16" ht="30" x14ac:dyDescent="0.25">
      <c r="B333" s="26">
        <v>203</v>
      </c>
      <c r="C333" s="27" t="s">
        <v>750</v>
      </c>
      <c r="D333" s="28" t="s">
        <v>751</v>
      </c>
      <c r="E333" s="28" t="s">
        <v>749</v>
      </c>
      <c r="F333" s="29">
        <v>0.28000000000000003</v>
      </c>
      <c r="G333" s="30">
        <v>1</v>
      </c>
      <c r="H333" s="45">
        <f>F333 * G333 * 80895.2238</f>
        <v>22650.662664000003</v>
      </c>
      <c r="I333" s="45">
        <f>F333 * G333 * 1997.016859</f>
        <v>559.16472052000006</v>
      </c>
      <c r="J333" s="45">
        <f>F333 * G333 * 0</f>
        <v>0</v>
      </c>
      <c r="K333" s="45">
        <f>F333 * G333 * 77012.253058</f>
        <v>21563.430856240004</v>
      </c>
      <c r="L333" s="45">
        <f>F333 * G333 * 16789.971841</f>
        <v>4701.1921154800002</v>
      </c>
      <c r="M333" s="45">
        <f>F333 * G333 * 16179.04476</f>
        <v>4530.1325328000003</v>
      </c>
      <c r="N333" s="46">
        <f>SUM(H333:M333)</f>
        <v>54004.582889040008</v>
      </c>
      <c r="O333" s="93">
        <f t="shared" si="122"/>
        <v>66134.822274661739</v>
      </c>
      <c r="P333" s="33">
        <f t="shared" si="123"/>
        <v>1.0396595339662602</v>
      </c>
    </row>
    <row r="334" spans="2:16" x14ac:dyDescent="0.25">
      <c r="B334" s="35"/>
      <c r="C334" s="36" t="s">
        <v>752</v>
      </c>
      <c r="D334" s="96" t="s">
        <v>753</v>
      </c>
      <c r="E334" s="96"/>
      <c r="F334" s="96"/>
      <c r="G334" s="96"/>
      <c r="H334" s="96"/>
      <c r="I334" s="96"/>
      <c r="J334" s="96"/>
      <c r="K334" s="96"/>
      <c r="L334" s="96"/>
      <c r="M334" s="96"/>
      <c r="N334" s="96"/>
      <c r="O334" s="96"/>
      <c r="P334" s="96"/>
    </row>
    <row r="335" spans="2:16" x14ac:dyDescent="0.25">
      <c r="B335" s="35"/>
      <c r="C335" s="36" t="s">
        <v>754</v>
      </c>
      <c r="D335" s="104" t="s">
        <v>755</v>
      </c>
      <c r="E335" s="104"/>
      <c r="F335" s="10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2:16" ht="45" x14ac:dyDescent="0.25">
      <c r="B336" s="26">
        <v>204</v>
      </c>
      <c r="C336" s="27" t="s">
        <v>756</v>
      </c>
      <c r="D336" s="28" t="s">
        <v>757</v>
      </c>
      <c r="E336" s="28" t="s">
        <v>758</v>
      </c>
      <c r="F336" s="29">
        <v>2.8000000000000001E-2</v>
      </c>
      <c r="G336" s="30">
        <v>1</v>
      </c>
      <c r="H336" s="45">
        <f>F336 * G336 * 24860.7252</f>
        <v>696.10030560000007</v>
      </c>
      <c r="I336" s="45">
        <f>F336 * G336 * 2504.560909</f>
        <v>70.127705452000001</v>
      </c>
      <c r="J336" s="45">
        <f>F336 * G336 * 0</f>
        <v>0</v>
      </c>
      <c r="K336" s="45">
        <f>F336 * G336 * 23667.41039</f>
        <v>662.68749092000007</v>
      </c>
      <c r="L336" s="45">
        <f>F336 * G336 * 5358.433132</f>
        <v>150.03612769599999</v>
      </c>
      <c r="M336" s="45">
        <f>F336 * G336 * 4972.14504</f>
        <v>139.22006112000003</v>
      </c>
      <c r="N336" s="46">
        <f>SUM(H336:M336)</f>
        <v>1718.1716907880002</v>
      </c>
      <c r="O336" s="93">
        <f t="shared" ref="O336" si="124">N336*1.07*1.09*1.05</f>
        <v>2104.0988251143472</v>
      </c>
      <c r="P336" s="33">
        <f>IF($P$9&gt;0,O336/$P$9/12,0)</f>
        <v>3.3077073902948298E-2</v>
      </c>
    </row>
    <row r="337" spans="2:16" x14ac:dyDescent="0.25">
      <c r="B337" s="35"/>
      <c r="C337" s="36" t="s">
        <v>759</v>
      </c>
      <c r="D337" s="96" t="s">
        <v>760</v>
      </c>
      <c r="E337" s="96"/>
      <c r="F337" s="96"/>
      <c r="G337" s="96"/>
      <c r="H337" s="96"/>
      <c r="I337" s="96"/>
      <c r="J337" s="96"/>
      <c r="K337" s="96"/>
      <c r="L337" s="96"/>
      <c r="M337" s="96"/>
      <c r="N337" s="96"/>
      <c r="O337" s="96"/>
      <c r="P337" s="96"/>
    </row>
    <row r="338" spans="2:16" x14ac:dyDescent="0.25">
      <c r="B338" s="26">
        <v>205</v>
      </c>
      <c r="C338" s="27" t="s">
        <v>761</v>
      </c>
      <c r="D338" s="28" t="s">
        <v>762</v>
      </c>
      <c r="E338" s="28" t="s">
        <v>763</v>
      </c>
      <c r="F338" s="29">
        <v>3</v>
      </c>
      <c r="G338" s="30">
        <v>0.1</v>
      </c>
      <c r="H338" s="45">
        <f>F338 * G338 * 576.944236</f>
        <v>173.08327080000004</v>
      </c>
      <c r="I338" s="45">
        <f>F338 * G338 * 88262.56512</f>
        <v>26478.769536000003</v>
      </c>
      <c r="J338" s="45">
        <f>F338 * G338 * 0</f>
        <v>0</v>
      </c>
      <c r="K338" s="45">
        <f>F338 * G338 * 549.250912</f>
        <v>164.77527360000002</v>
      </c>
      <c r="L338" s="45">
        <f>F338 * G338 * 9385.819828</f>
        <v>2815.7459484000005</v>
      </c>
      <c r="M338" s="45">
        <f>F338 * G338 * 115.388847</f>
        <v>34.616654100000005</v>
      </c>
      <c r="N338" s="46">
        <f>SUM(H338:M338)</f>
        <v>29666.990682900003</v>
      </c>
      <c r="O338" s="93">
        <f t="shared" ref="O338" si="125">N338*1.07*1.09*1.05</f>
        <v>36330.641795139592</v>
      </c>
      <c r="P338" s="33">
        <f>IF($P$9&gt;0,O338/$P$9/12,0)</f>
        <v>0.57112874607211828</v>
      </c>
    </row>
    <row r="339" spans="2:16" x14ac:dyDescent="0.25">
      <c r="B339" s="35"/>
      <c r="C339" s="36" t="s">
        <v>764</v>
      </c>
      <c r="D339" s="96" t="s">
        <v>765</v>
      </c>
      <c r="E339" s="96"/>
      <c r="F339" s="96"/>
      <c r="G339" s="96"/>
      <c r="H339" s="96"/>
      <c r="I339" s="96"/>
      <c r="J339" s="96"/>
      <c r="K339" s="96"/>
      <c r="L339" s="96"/>
      <c r="M339" s="96"/>
      <c r="N339" s="96"/>
      <c r="O339" s="96"/>
      <c r="P339" s="96"/>
    </row>
    <row r="340" spans="2:16" ht="30" x14ac:dyDescent="0.25">
      <c r="B340" s="26">
        <v>206</v>
      </c>
      <c r="C340" s="27" t="s">
        <v>766</v>
      </c>
      <c r="D340" s="28" t="s">
        <v>767</v>
      </c>
      <c r="E340" s="28" t="s">
        <v>768</v>
      </c>
      <c r="F340" s="29">
        <v>1</v>
      </c>
      <c r="G340" s="30">
        <v>0.5</v>
      </c>
      <c r="H340" s="45">
        <f>F340 * G340 * 3146.052</f>
        <v>1573.0260000000001</v>
      </c>
      <c r="I340" s="45">
        <f>F340 * G340 * 23605.280733</f>
        <v>11802.6403665</v>
      </c>
      <c r="J340" s="45">
        <f>F340 * G340 * 0</f>
        <v>0</v>
      </c>
      <c r="K340" s="45">
        <f>F340 * G340 * 2995.041504</f>
        <v>1497.5207519999999</v>
      </c>
      <c r="L340" s="45">
        <f>F340 * G340 * 3123.369295</f>
        <v>1561.6846475</v>
      </c>
      <c r="M340" s="45">
        <f>F340 * G340 * 629.2104</f>
        <v>314.60520000000002</v>
      </c>
      <c r="N340" s="46">
        <f>SUM(H340:M340)</f>
        <v>16749.476966000002</v>
      </c>
      <c r="O340" s="93">
        <f t="shared" ref="O340:O341" si="126">N340*1.07*1.09*1.05</f>
        <v>20511.660734718094</v>
      </c>
      <c r="P340" s="33">
        <f t="shared" ref="P340:P341" si="127">IF($P$9&gt;0,O340/$P$9/12,0)</f>
        <v>0.32244954937304432</v>
      </c>
    </row>
    <row r="341" spans="2:16" ht="30" x14ac:dyDescent="0.25">
      <c r="B341" s="26">
        <v>207</v>
      </c>
      <c r="C341" s="27" t="s">
        <v>769</v>
      </c>
      <c r="D341" s="28" t="s">
        <v>770</v>
      </c>
      <c r="E341" s="28" t="s">
        <v>771</v>
      </c>
      <c r="F341" s="29">
        <v>1</v>
      </c>
      <c r="G341" s="30">
        <v>0.5</v>
      </c>
      <c r="H341" s="45">
        <f>F341 * G341 * 4719.078</f>
        <v>2359.5390000000002</v>
      </c>
      <c r="I341" s="45">
        <f>F341 * G341 * 26295.23832</f>
        <v>13147.61916</v>
      </c>
      <c r="J341" s="45">
        <f>F341 * G341 * 0</f>
        <v>0</v>
      </c>
      <c r="K341" s="45">
        <f>F341 * G341 * 4492.562256</f>
        <v>2246.2811280000001</v>
      </c>
      <c r="L341" s="45">
        <f>F341 * G341 * 3728.222251</f>
        <v>1864.1111255000001</v>
      </c>
      <c r="M341" s="45">
        <f>F341 * G341 * 943.8156</f>
        <v>471.90780000000001</v>
      </c>
      <c r="N341" s="46">
        <f>SUM(H341:M341)</f>
        <v>20089.458213500002</v>
      </c>
      <c r="O341" s="93">
        <f t="shared" si="126"/>
        <v>24601.851870125309</v>
      </c>
      <c r="P341" s="33">
        <f t="shared" si="127"/>
        <v>0.38674859885124363</v>
      </c>
    </row>
    <row r="342" spans="2:16" x14ac:dyDescent="0.25">
      <c r="B342" s="35"/>
      <c r="C342" s="36" t="s">
        <v>772</v>
      </c>
      <c r="D342" s="96" t="s">
        <v>773</v>
      </c>
      <c r="E342" s="96"/>
      <c r="F342" s="96"/>
      <c r="G342" s="96"/>
      <c r="H342" s="96"/>
      <c r="I342" s="96"/>
      <c r="J342" s="96"/>
      <c r="K342" s="96"/>
      <c r="L342" s="96"/>
      <c r="M342" s="96"/>
      <c r="N342" s="96"/>
      <c r="O342" s="96"/>
      <c r="P342" s="96"/>
    </row>
    <row r="343" spans="2:16" x14ac:dyDescent="0.25">
      <c r="B343" s="26">
        <v>208</v>
      </c>
      <c r="C343" s="27" t="s">
        <v>774</v>
      </c>
      <c r="D343" s="28" t="s">
        <v>775</v>
      </c>
      <c r="E343" s="28" t="s">
        <v>776</v>
      </c>
      <c r="F343" s="29">
        <v>1</v>
      </c>
      <c r="G343" s="30">
        <v>0.5</v>
      </c>
      <c r="H343" s="45">
        <f>F343 * G343 * 2850.515</f>
        <v>1425.2574999999999</v>
      </c>
      <c r="I343" s="45">
        <f>F343 * G343 * 7411.615799</f>
        <v>3705.8078995000001</v>
      </c>
      <c r="J343" s="45">
        <f>F343 * G343 * 0</f>
        <v>0</v>
      </c>
      <c r="K343" s="45">
        <f>F343 * G343 * 2713.69028</f>
        <v>1356.8451399999999</v>
      </c>
      <c r="L343" s="45">
        <f>F343 * G343 * 1362.461213</f>
        <v>681.23060650000002</v>
      </c>
      <c r="M343" s="45">
        <f>F343 * G343 * 570.103</f>
        <v>285.05149999999998</v>
      </c>
      <c r="N343" s="46">
        <f>SUM(H343:M343)</f>
        <v>7454.1926460000004</v>
      </c>
      <c r="O343" s="93">
        <f t="shared" ref="O343" si="128">N343*1.07*1.09*1.05</f>
        <v>9128.5161271812922</v>
      </c>
      <c r="P343" s="33">
        <f>IF($P$9&gt;0,O343/$P$9/12,0)</f>
        <v>0.14350305173837155</v>
      </c>
    </row>
    <row r="344" spans="2:16" x14ac:dyDescent="0.25">
      <c r="B344" s="35"/>
      <c r="C344" s="36" t="s">
        <v>777</v>
      </c>
      <c r="D344" s="104" t="s">
        <v>778</v>
      </c>
      <c r="E344" s="104"/>
      <c r="F344" s="10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</row>
    <row r="345" spans="2:16" x14ac:dyDescent="0.25">
      <c r="B345" s="26">
        <v>209</v>
      </c>
      <c r="C345" s="27" t="s">
        <v>779</v>
      </c>
      <c r="D345" s="28" t="s">
        <v>780</v>
      </c>
      <c r="E345" s="28" t="s">
        <v>268</v>
      </c>
      <c r="F345" s="29">
        <v>0.01</v>
      </c>
      <c r="G345" s="30">
        <v>1</v>
      </c>
      <c r="H345" s="45">
        <f>F345 * G345 * 57545.362</f>
        <v>575.45362</v>
      </c>
      <c r="I345" s="45">
        <f>F345 * G345 * 495853.13854</f>
        <v>4958.5313854000005</v>
      </c>
      <c r="J345" s="45">
        <f>F345 * G345 * 0</f>
        <v>0</v>
      </c>
      <c r="K345" s="45">
        <f>F345 * G345 * 54783.184624</f>
        <v>547.83184624</v>
      </c>
      <c r="L345" s="45">
        <f>F345 * G345 * 63859.076942</f>
        <v>638.59076942000002</v>
      </c>
      <c r="M345" s="45">
        <f>F345 * G345 * 11509.0724</f>
        <v>115.09072399999999</v>
      </c>
      <c r="N345" s="46">
        <f>SUM(H345:M345)</f>
        <v>6835.4983450600012</v>
      </c>
      <c r="O345" s="93">
        <f t="shared" ref="O345:O347" si="129">N345*1.07*1.09*1.05</f>
        <v>8370.8538058356553</v>
      </c>
      <c r="P345" s="33">
        <f t="shared" ref="P345:P347" si="130">IF($P$9&gt;0,O345/$P$9/12,0)</f>
        <v>0.13159236945600916</v>
      </c>
    </row>
    <row r="346" spans="2:16" x14ac:dyDescent="0.25">
      <c r="B346" s="26">
        <v>210</v>
      </c>
      <c r="C346" s="27" t="s">
        <v>781</v>
      </c>
      <c r="D346" s="28" t="s">
        <v>782</v>
      </c>
      <c r="E346" s="28" t="s">
        <v>268</v>
      </c>
      <c r="F346" s="29">
        <v>0.01</v>
      </c>
      <c r="G346" s="30">
        <v>1</v>
      </c>
      <c r="H346" s="45">
        <f>F346 * G346 * 66793.72375</f>
        <v>667.93723750000004</v>
      </c>
      <c r="I346" s="45">
        <f>F346 * G346 * 1058168.892276</f>
        <v>10581.68892276</v>
      </c>
      <c r="J346" s="45">
        <f>F346 * G346 * 0</f>
        <v>0</v>
      </c>
      <c r="K346" s="45">
        <f>F346 * G346 * 63587.625011</f>
        <v>635.87625011</v>
      </c>
      <c r="L346" s="45">
        <f>F346 * G346 * 124797.775309</f>
        <v>1247.9777530900001</v>
      </c>
      <c r="M346" s="45">
        <f>F346 * G346 * 13358.74475</f>
        <v>133.5874475</v>
      </c>
      <c r="N346" s="46">
        <f>SUM(H346:M346)</f>
        <v>13267.067610960001</v>
      </c>
      <c r="O346" s="93">
        <f t="shared" si="129"/>
        <v>16247.050002395785</v>
      </c>
      <c r="P346" s="33">
        <f t="shared" si="130"/>
        <v>0.25540857074759143</v>
      </c>
    </row>
    <row r="347" spans="2:16" x14ac:dyDescent="0.25">
      <c r="B347" s="26">
        <v>211</v>
      </c>
      <c r="C347" s="27" t="s">
        <v>783</v>
      </c>
      <c r="D347" s="28" t="s">
        <v>784</v>
      </c>
      <c r="E347" s="28" t="s">
        <v>268</v>
      </c>
      <c r="F347" s="29">
        <v>0.01</v>
      </c>
      <c r="G347" s="30">
        <v>1</v>
      </c>
      <c r="H347" s="45">
        <f>F347 * G347 * 76042.0855</f>
        <v>760.42085500000007</v>
      </c>
      <c r="I347" s="45">
        <f>F347 * G347 * 1489935.448251</f>
        <v>14899.35448251</v>
      </c>
      <c r="J347" s="45">
        <f>F347 * G347 * 0</f>
        <v>0</v>
      </c>
      <c r="K347" s="45">
        <f>F347 * G347 * 72392.065396</f>
        <v>723.9206539600001</v>
      </c>
      <c r="L347" s="45">
        <f>F347 * G347 * 172028.807911</f>
        <v>1720.2880791100001</v>
      </c>
      <c r="M347" s="45">
        <f>F347 * G347 * 15208.4171</f>
        <v>152.084171</v>
      </c>
      <c r="N347" s="46">
        <f>SUM(H347:M347)</f>
        <v>18256.06824158</v>
      </c>
      <c r="O347" s="93">
        <f t="shared" si="129"/>
        <v>22356.655009662496</v>
      </c>
      <c r="P347" s="33">
        <f t="shared" si="130"/>
        <v>0.35145342089012283</v>
      </c>
    </row>
    <row r="348" spans="2:16" x14ac:dyDescent="0.25">
      <c r="B348" s="35"/>
      <c r="C348" s="36" t="s">
        <v>785</v>
      </c>
      <c r="D348" s="104" t="s">
        <v>786</v>
      </c>
      <c r="E348" s="104"/>
      <c r="F348" s="10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</row>
    <row r="349" spans="2:16" ht="30" x14ac:dyDescent="0.25">
      <c r="B349" s="26">
        <v>212</v>
      </c>
      <c r="C349" s="27" t="s">
        <v>787</v>
      </c>
      <c r="D349" s="28" t="s">
        <v>788</v>
      </c>
      <c r="E349" s="28" t="s">
        <v>268</v>
      </c>
      <c r="F349" s="29">
        <v>0.01</v>
      </c>
      <c r="G349" s="30">
        <v>1</v>
      </c>
      <c r="H349" s="45">
        <f>F349 * G349 * 84262.8515</f>
        <v>842.62851500000011</v>
      </c>
      <c r="I349" s="45">
        <f>F349 * G349 * 10112.522572</f>
        <v>101.12522572</v>
      </c>
      <c r="J349" s="45">
        <f>F349 * G349 * 0</f>
        <v>0</v>
      </c>
      <c r="K349" s="45">
        <f>F349 * G349 * 80218.234628</f>
        <v>802.18234628000005</v>
      </c>
      <c r="L349" s="45">
        <f>F349 * G349 * 18332.328913</f>
        <v>183.32328913000001</v>
      </c>
      <c r="M349" s="45">
        <f>F349 * G349 * 16852.5703</f>
        <v>168.52570299999999</v>
      </c>
      <c r="N349" s="46">
        <f>SUM(H349:M349)</f>
        <v>2097.7850791299998</v>
      </c>
      <c r="O349" s="93">
        <f t="shared" ref="O349:O351" si="131">N349*1.07*1.09*1.05</f>
        <v>2568.9790746787853</v>
      </c>
      <c r="P349" s="33">
        <f t="shared" ref="P349:P351" si="132">IF($P$9&gt;0,O349/$P$9/12,0)</f>
        <v>4.0385132910123647E-2</v>
      </c>
    </row>
    <row r="350" spans="2:16" ht="30" x14ac:dyDescent="0.25">
      <c r="B350" s="26">
        <v>213</v>
      </c>
      <c r="C350" s="27" t="s">
        <v>789</v>
      </c>
      <c r="D350" s="28" t="s">
        <v>790</v>
      </c>
      <c r="E350" s="28" t="s">
        <v>268</v>
      </c>
      <c r="F350" s="29">
        <v>0.01</v>
      </c>
      <c r="G350" s="30">
        <v>1</v>
      </c>
      <c r="H350" s="45">
        <f>F350 * G350 * 110980.341</f>
        <v>1109.80341</v>
      </c>
      <c r="I350" s="45">
        <f>F350 * G350 * 32438.651718</f>
        <v>324.38651718</v>
      </c>
      <c r="J350" s="45">
        <f>F350 * G350 * 0</f>
        <v>0</v>
      </c>
      <c r="K350" s="45">
        <f>F350 * G350 * 105653.284632</f>
        <v>1056.5328463199999</v>
      </c>
      <c r="L350" s="45">
        <f>F350 * G350 * 26152.589122</f>
        <v>261.52589122000001</v>
      </c>
      <c r="M350" s="45">
        <f>F350 * G350 * 22196.0682</f>
        <v>221.96068200000002</v>
      </c>
      <c r="N350" s="46">
        <f>SUM(H350:M350)</f>
        <v>2974.2093467199998</v>
      </c>
      <c r="O350" s="93">
        <f t="shared" si="131"/>
        <v>3642.2613791335129</v>
      </c>
      <c r="P350" s="33">
        <f t="shared" si="132"/>
        <v>5.7257457384353783E-2</v>
      </c>
    </row>
    <row r="351" spans="2:16" ht="30" x14ac:dyDescent="0.25">
      <c r="B351" s="26">
        <v>214</v>
      </c>
      <c r="C351" s="27" t="s">
        <v>791</v>
      </c>
      <c r="D351" s="28" t="s">
        <v>792</v>
      </c>
      <c r="E351" s="28" t="s">
        <v>268</v>
      </c>
      <c r="F351" s="29">
        <v>0.01</v>
      </c>
      <c r="G351" s="30">
        <v>1</v>
      </c>
      <c r="H351" s="45">
        <f>F351 * G351 * 164415.32</f>
        <v>1644.1532000000002</v>
      </c>
      <c r="I351" s="45">
        <f>F351 * G351 * 32558.860251</f>
        <v>325.58860250999999</v>
      </c>
      <c r="J351" s="45">
        <f>F351 * G351 * 0</f>
        <v>0</v>
      </c>
      <c r="K351" s="45">
        <f>F351 * G351 * 156523.38464</f>
        <v>1565.2338464000002</v>
      </c>
      <c r="L351" s="45">
        <f>F351 * G351 * 37117.244313</f>
        <v>371.17244313000003</v>
      </c>
      <c r="M351" s="45">
        <f>F351 * G351 * 32883.064</f>
        <v>328.83064000000002</v>
      </c>
      <c r="N351" s="46">
        <f>SUM(H351:M351)</f>
        <v>4234.9787320400001</v>
      </c>
      <c r="O351" s="93">
        <f t="shared" si="131"/>
        <v>5186.2184799371653</v>
      </c>
      <c r="P351" s="33">
        <f t="shared" si="132"/>
        <v>8.1528932904753271E-2</v>
      </c>
    </row>
    <row r="352" spans="2:16" x14ac:dyDescent="0.25">
      <c r="B352" s="35"/>
      <c r="C352" s="36" t="s">
        <v>793</v>
      </c>
      <c r="D352" s="104" t="s">
        <v>794</v>
      </c>
      <c r="E352" s="104"/>
      <c r="F352" s="10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</row>
    <row r="353" spans="2:16" ht="30" x14ac:dyDescent="0.25">
      <c r="B353" s="26">
        <v>215</v>
      </c>
      <c r="C353" s="27" t="s">
        <v>795</v>
      </c>
      <c r="D353" s="28" t="s">
        <v>796</v>
      </c>
      <c r="E353" s="28" t="s">
        <v>797</v>
      </c>
      <c r="F353" s="29">
        <v>0.01</v>
      </c>
      <c r="G353" s="30">
        <v>1</v>
      </c>
      <c r="H353" s="45">
        <f>F353 * G353 * 17058.08945</f>
        <v>170.5808945</v>
      </c>
      <c r="I353" s="45">
        <f>F353 * G353 * 35950.208138</f>
        <v>359.50208138000005</v>
      </c>
      <c r="J353" s="45">
        <f>F353 * G353 * 0</f>
        <v>0</v>
      </c>
      <c r="K353" s="45">
        <f>F353 * G353 * 16239.301157</f>
        <v>162.39301157</v>
      </c>
      <c r="L353" s="45">
        <f>F353 * G353 * 7270.997868</f>
        <v>72.709978680000006</v>
      </c>
      <c r="M353" s="45">
        <f>F353 * G353 * 3411.61789</f>
        <v>34.116178900000001</v>
      </c>
      <c r="N353" s="46">
        <f>SUM(H353:M353)</f>
        <v>799.30214503000002</v>
      </c>
      <c r="O353" s="93">
        <f t="shared" ref="O353" si="133">N353*1.07*1.09*1.05</f>
        <v>978.83739633591358</v>
      </c>
      <c r="P353" s="33">
        <f>IF($P$9&gt;0,O353/$P$9/12,0)</f>
        <v>1.5387621774758121E-2</v>
      </c>
    </row>
    <row r="354" spans="2:16" x14ac:dyDescent="0.25">
      <c r="B354" s="35"/>
      <c r="C354" s="36" t="s">
        <v>798</v>
      </c>
      <c r="D354" s="104" t="s">
        <v>799</v>
      </c>
      <c r="E354" s="104"/>
      <c r="F354" s="10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</row>
    <row r="355" spans="2:16" x14ac:dyDescent="0.25">
      <c r="B355" s="26">
        <v>216</v>
      </c>
      <c r="C355" s="27" t="s">
        <v>800</v>
      </c>
      <c r="D355" s="28" t="s">
        <v>801</v>
      </c>
      <c r="E355" s="28" t="s">
        <v>797</v>
      </c>
      <c r="F355" s="29">
        <v>0.01</v>
      </c>
      <c r="G355" s="30">
        <v>1</v>
      </c>
      <c r="H355" s="45">
        <f>F355 * G355 * 12483.9693</f>
        <v>124.83969300000001</v>
      </c>
      <c r="I355" s="45">
        <f>F355 * G355 * 20633.532092</f>
        <v>206.33532092000002</v>
      </c>
      <c r="J355" s="45">
        <f>F355 * G355 * 0</f>
        <v>0</v>
      </c>
      <c r="K355" s="45">
        <f>F355 * G355 * 11884.738774</f>
        <v>118.84738774</v>
      </c>
      <c r="L355" s="45">
        <f>F355 * G355 * 4725.235218</f>
        <v>47.252352179999995</v>
      </c>
      <c r="M355" s="45">
        <f>F355 * G355 * 2496.79386</f>
        <v>24.967938600000004</v>
      </c>
      <c r="N355" s="46">
        <f>SUM(H355:M355)</f>
        <v>522.24269244000004</v>
      </c>
      <c r="O355" s="93">
        <f t="shared" ref="O355" si="134">N355*1.07*1.09*1.05</f>
        <v>639.54623480241059</v>
      </c>
      <c r="P355" s="33">
        <f>IF($P$9&gt;0,O355/$P$9/12,0)</f>
        <v>1.0053861453851641E-2</v>
      </c>
    </row>
    <row r="356" spans="2:16" x14ac:dyDescent="0.25">
      <c r="B356" s="35"/>
      <c r="C356" s="36" t="s">
        <v>802</v>
      </c>
      <c r="D356" s="104" t="s">
        <v>803</v>
      </c>
      <c r="E356" s="104"/>
      <c r="F356" s="10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</row>
    <row r="357" spans="2:16" x14ac:dyDescent="0.25">
      <c r="B357" s="26">
        <v>217</v>
      </c>
      <c r="C357" s="27" t="s">
        <v>804</v>
      </c>
      <c r="D357" s="28" t="s">
        <v>805</v>
      </c>
      <c r="E357" s="28" t="s">
        <v>806</v>
      </c>
      <c r="F357" s="29">
        <v>0.01</v>
      </c>
      <c r="G357" s="30">
        <v>1</v>
      </c>
      <c r="H357" s="45">
        <f>F357 * G357 * 11858.1424</f>
        <v>118.58142400000001</v>
      </c>
      <c r="I357" s="45">
        <f>F357 * G357 * 37939.779207</f>
        <v>379.39779206999998</v>
      </c>
      <c r="J357" s="45">
        <f>F357 * G357 * 0</f>
        <v>0</v>
      </c>
      <c r="K357" s="45">
        <f>F357 * G357 * 11288.951565</f>
        <v>112.88951564999999</v>
      </c>
      <c r="L357" s="45">
        <f>F357 * G357 * 6414.121683</f>
        <v>64.141216830000005</v>
      </c>
      <c r="M357" s="45">
        <f>F357 * G357 * 2371.62848</f>
        <v>23.7162848</v>
      </c>
      <c r="N357" s="46">
        <f>SUM(H357:M357)</f>
        <v>698.72623335000003</v>
      </c>
      <c r="O357" s="93">
        <f t="shared" ref="O357" si="135">N357*1.07*1.09*1.05</f>
        <v>855.67062625391043</v>
      </c>
      <c r="P357" s="33">
        <f>IF($P$9&gt;0,O357/$P$9/12,0)</f>
        <v>1.3451402663867044E-2</v>
      </c>
    </row>
    <row r="358" spans="2:16" x14ac:dyDescent="0.25">
      <c r="B358" s="35"/>
      <c r="C358" s="36" t="s">
        <v>807</v>
      </c>
      <c r="D358" s="96" t="s">
        <v>808</v>
      </c>
      <c r="E358" s="96"/>
      <c r="F358" s="96"/>
      <c r="G358" s="96"/>
      <c r="H358" s="96"/>
      <c r="I358" s="96"/>
      <c r="J358" s="96"/>
      <c r="K358" s="96"/>
      <c r="L358" s="96"/>
      <c r="M358" s="96"/>
      <c r="N358" s="96"/>
      <c r="O358" s="96"/>
      <c r="P358" s="96"/>
    </row>
    <row r="359" spans="2:16" x14ac:dyDescent="0.25">
      <c r="B359" s="35"/>
      <c r="C359" s="36" t="s">
        <v>809</v>
      </c>
      <c r="D359" s="104" t="s">
        <v>810</v>
      </c>
      <c r="E359" s="104"/>
      <c r="F359" s="10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2:16" ht="30" x14ac:dyDescent="0.25">
      <c r="B360" s="26">
        <v>218</v>
      </c>
      <c r="C360" s="27" t="s">
        <v>811</v>
      </c>
      <c r="D360" s="28" t="s">
        <v>812</v>
      </c>
      <c r="E360" s="28" t="s">
        <v>813</v>
      </c>
      <c r="F360" s="29">
        <v>1</v>
      </c>
      <c r="G360" s="30">
        <v>1</v>
      </c>
      <c r="H360" s="45">
        <f>F360 * G360 * 86.655656</f>
        <v>86.655655999999993</v>
      </c>
      <c r="I360" s="45">
        <f>F360 * G360 * 404.57232</f>
        <v>404.57231999999999</v>
      </c>
      <c r="J360" s="45">
        <f>F360 * G360 * 0</f>
        <v>0</v>
      </c>
      <c r="K360" s="45">
        <f>F360 * G360 * 82.496184</f>
        <v>82.496184</v>
      </c>
      <c r="L360" s="45">
        <f>F360 * G360 * 60.241037</f>
        <v>60.241036999999999</v>
      </c>
      <c r="M360" s="45">
        <f>F360 * G360 * 17.331131</f>
        <v>17.331130999999999</v>
      </c>
      <c r="N360" s="46">
        <f>SUM(H360:M360)</f>
        <v>651.29632800000002</v>
      </c>
      <c r="O360" s="93">
        <f t="shared" ref="O360:O361" si="136">N360*1.07*1.09*1.05</f>
        <v>797.5872527137202</v>
      </c>
      <c r="P360" s="33">
        <f t="shared" ref="P360:P361" si="137">IF($P$9&gt;0,O360/$P$9/12,0)</f>
        <v>1.2538314354425583E-2</v>
      </c>
    </row>
    <row r="361" spans="2:16" ht="30" x14ac:dyDescent="0.25">
      <c r="B361" s="26">
        <v>219</v>
      </c>
      <c r="C361" s="27" t="s">
        <v>814</v>
      </c>
      <c r="D361" s="28" t="s">
        <v>815</v>
      </c>
      <c r="E361" s="28" t="s">
        <v>813</v>
      </c>
      <c r="F361" s="29">
        <v>1</v>
      </c>
      <c r="G361" s="30">
        <v>1</v>
      </c>
      <c r="H361" s="45">
        <f>F361 * G361 * 86.655656</f>
        <v>86.655655999999993</v>
      </c>
      <c r="I361" s="45">
        <f>F361 * G361 * 632.772</f>
        <v>632.77200000000005</v>
      </c>
      <c r="J361" s="45">
        <f>F361 * G361 * 0</f>
        <v>0</v>
      </c>
      <c r="K361" s="45">
        <f>F361 * G361 * 82.496184</f>
        <v>82.496184</v>
      </c>
      <c r="L361" s="45">
        <f>F361 * G361 * 84.202003</f>
        <v>84.202003000000005</v>
      </c>
      <c r="M361" s="45">
        <f>F361 * G361 * 17.331131</f>
        <v>17.331130999999999</v>
      </c>
      <c r="N361" s="46">
        <f>SUM(H361:M361)</f>
        <v>903.45697400000006</v>
      </c>
      <c r="O361" s="93">
        <f t="shared" si="136"/>
        <v>1106.3869622150103</v>
      </c>
      <c r="P361" s="33">
        <f t="shared" si="137"/>
        <v>1.7392739769461898E-2</v>
      </c>
    </row>
    <row r="362" spans="2:16" x14ac:dyDescent="0.25">
      <c r="B362" s="35"/>
      <c r="C362" s="36" t="s">
        <v>816</v>
      </c>
      <c r="D362" s="104" t="s">
        <v>817</v>
      </c>
      <c r="E362" s="104"/>
      <c r="F362" s="10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</row>
    <row r="363" spans="2:16" ht="30" x14ac:dyDescent="0.25">
      <c r="B363" s="26">
        <v>220</v>
      </c>
      <c r="C363" s="27" t="s">
        <v>818</v>
      </c>
      <c r="D363" s="28" t="s">
        <v>819</v>
      </c>
      <c r="E363" s="28" t="s">
        <v>813</v>
      </c>
      <c r="F363" s="29">
        <v>1</v>
      </c>
      <c r="G363" s="30">
        <v>1</v>
      </c>
      <c r="H363" s="45">
        <f>F363 * G363 * 86.655656</f>
        <v>86.655655999999993</v>
      </c>
      <c r="I363" s="45">
        <f>F363 * G363 * 1234.50804</f>
        <v>1234.5080399999999</v>
      </c>
      <c r="J363" s="45">
        <f>F363 * G363 * 0</f>
        <v>0</v>
      </c>
      <c r="K363" s="45">
        <f>F363 * G363 * 82.496184</f>
        <v>82.496184</v>
      </c>
      <c r="L363" s="45">
        <f>F363 * G363 * 147.384287</f>
        <v>147.384287</v>
      </c>
      <c r="M363" s="45">
        <f>F363 * G363 * 17.331131</f>
        <v>17.331130999999999</v>
      </c>
      <c r="N363" s="46">
        <f>SUM(H363:M363)</f>
        <v>1568.3752979999999</v>
      </c>
      <c r="O363" s="93">
        <f t="shared" ref="O363:O365" si="138">N363*1.07*1.09*1.05</f>
        <v>1920.6559155602702</v>
      </c>
      <c r="P363" s="33">
        <f t="shared" ref="P363:P365" si="139">IF($P$9&gt;0,O363/$P$9/12,0)</f>
        <v>3.0193295534809001E-2</v>
      </c>
    </row>
    <row r="364" spans="2:16" ht="30" x14ac:dyDescent="0.25">
      <c r="B364" s="26">
        <v>221</v>
      </c>
      <c r="C364" s="27" t="s">
        <v>820</v>
      </c>
      <c r="D364" s="28" t="s">
        <v>821</v>
      </c>
      <c r="E364" s="28" t="s">
        <v>813</v>
      </c>
      <c r="F364" s="29">
        <v>1</v>
      </c>
      <c r="G364" s="30">
        <v>1</v>
      </c>
      <c r="H364" s="45">
        <f>F364 * G364 * 86.655656</f>
        <v>86.655655999999993</v>
      </c>
      <c r="I364" s="45">
        <f>F364 * G364 * 1890.2808</f>
        <v>1890.2808</v>
      </c>
      <c r="J364" s="45">
        <f>F364 * G364 * 0</f>
        <v>0</v>
      </c>
      <c r="K364" s="45">
        <f>F364 * G364 * 82.496184</f>
        <v>82.496184</v>
      </c>
      <c r="L364" s="45">
        <f>F364 * G364 * 216.240427</f>
        <v>216.24042700000001</v>
      </c>
      <c r="M364" s="45">
        <f>F364 * G364 * 17.331131</f>
        <v>17.331130999999999</v>
      </c>
      <c r="N364" s="46">
        <f>SUM(H364:M364)</f>
        <v>2293.0041980000001</v>
      </c>
      <c r="O364" s="93">
        <f t="shared" si="138"/>
        <v>2808.0473359337707</v>
      </c>
      <c r="P364" s="33">
        <f t="shared" si="139"/>
        <v>4.4143358736304011E-2</v>
      </c>
    </row>
    <row r="365" spans="2:16" ht="45" x14ac:dyDescent="0.25">
      <c r="B365" s="26">
        <v>222</v>
      </c>
      <c r="C365" s="27" t="s">
        <v>822</v>
      </c>
      <c r="D365" s="28" t="s">
        <v>823</v>
      </c>
      <c r="E365" s="28" t="s">
        <v>824</v>
      </c>
      <c r="F365" s="29"/>
      <c r="G365" s="30">
        <v>2</v>
      </c>
      <c r="H365" s="45">
        <f>F365 * G365 * 13171.2352</f>
        <v>0</v>
      </c>
      <c r="I365" s="45">
        <f>F365 * G365 * 0</f>
        <v>0</v>
      </c>
      <c r="J365" s="45">
        <f>F365 * G365 * 0</f>
        <v>0</v>
      </c>
      <c r="K365" s="45">
        <f>F365 * G365 * 12539.01591</f>
        <v>0</v>
      </c>
      <c r="L365" s="45">
        <f>F365 * G365 * 2699.576367</f>
        <v>0</v>
      </c>
      <c r="M365" s="45">
        <f>F365 * G365 * 2634.24704</f>
        <v>0</v>
      </c>
      <c r="N365" s="46">
        <f>SUM(H365:M365)</f>
        <v>0</v>
      </c>
      <c r="O365" s="93">
        <f t="shared" si="138"/>
        <v>0</v>
      </c>
      <c r="P365" s="33">
        <f t="shared" si="139"/>
        <v>0</v>
      </c>
    </row>
    <row r="366" spans="2:16" ht="13.9" customHeight="1" x14ac:dyDescent="0.25">
      <c r="B366" s="23"/>
      <c r="C366" s="24" t="s">
        <v>314</v>
      </c>
      <c r="D366" s="100" t="s">
        <v>315</v>
      </c>
      <c r="E366" s="100"/>
      <c r="F366" s="100"/>
      <c r="G366" s="100"/>
      <c r="H366" s="100"/>
      <c r="I366" s="100"/>
      <c r="J366" s="100"/>
      <c r="K366" s="100"/>
      <c r="L366" s="100"/>
      <c r="M366" s="100"/>
      <c r="N366" s="100"/>
      <c r="O366" s="100"/>
      <c r="P366" s="100"/>
    </row>
    <row r="367" spans="2:16" x14ac:dyDescent="0.25">
      <c r="B367" s="35"/>
      <c r="C367" s="36" t="s">
        <v>825</v>
      </c>
      <c r="D367" s="96" t="s">
        <v>826</v>
      </c>
      <c r="E367" s="96"/>
      <c r="F367" s="96"/>
      <c r="G367" s="96"/>
      <c r="H367" s="96"/>
      <c r="I367" s="96"/>
      <c r="J367" s="96"/>
      <c r="K367" s="96"/>
      <c r="L367" s="96"/>
      <c r="M367" s="96"/>
      <c r="N367" s="96"/>
      <c r="O367" s="96"/>
      <c r="P367" s="96"/>
    </row>
    <row r="368" spans="2:16" x14ac:dyDescent="0.25">
      <c r="B368" s="35"/>
      <c r="C368" s="36" t="s">
        <v>827</v>
      </c>
      <c r="D368" s="104" t="s">
        <v>828</v>
      </c>
      <c r="E368" s="104"/>
      <c r="F368" s="10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</row>
    <row r="369" spans="2:16" ht="45" x14ac:dyDescent="0.25">
      <c r="B369" s="26">
        <v>223</v>
      </c>
      <c r="C369" s="27" t="s">
        <v>829</v>
      </c>
      <c r="D369" s="28" t="s">
        <v>830</v>
      </c>
      <c r="E369" s="28" t="s">
        <v>831</v>
      </c>
      <c r="F369" s="29">
        <v>0.53900000000000003</v>
      </c>
      <c r="G369" s="30">
        <v>1</v>
      </c>
      <c r="H369" s="45">
        <f>F369 * G369 * 912.1648</f>
        <v>491.65682720000007</v>
      </c>
      <c r="I369" s="45">
        <f>F369 * G369 * 0</f>
        <v>0</v>
      </c>
      <c r="J369" s="45">
        <f>F369 * G369 * 0</f>
        <v>0</v>
      </c>
      <c r="K369" s="45">
        <f>F369 * G369 * 868.38089</f>
        <v>468.05729971000005</v>
      </c>
      <c r="L369" s="45">
        <f>F369 * G369 * 186.957297</f>
        <v>100.76998308300001</v>
      </c>
      <c r="M369" s="45">
        <f>F369 * G369 * 182.43296</f>
        <v>98.331365440000013</v>
      </c>
      <c r="N369" s="46">
        <f>SUM(H369:M369)</f>
        <v>1158.8154754330003</v>
      </c>
      <c r="O369" s="93">
        <f t="shared" ref="O369" si="140">N369*1.07*1.09*1.05</f>
        <v>1419.1028134473838</v>
      </c>
      <c r="P369" s="33">
        <f>IF($P$9&gt;0,O369/$P$9/12,0)</f>
        <v>2.2308728124369362E-2</v>
      </c>
    </row>
    <row r="370" spans="2:16" x14ac:dyDescent="0.25">
      <c r="B370" s="35"/>
      <c r="C370" s="36" t="s">
        <v>832</v>
      </c>
      <c r="D370" s="104" t="s">
        <v>833</v>
      </c>
      <c r="E370" s="104"/>
      <c r="F370" s="10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</row>
    <row r="371" spans="2:16" ht="30" x14ac:dyDescent="0.25">
      <c r="B371" s="26">
        <v>224</v>
      </c>
      <c r="C371" s="27" t="s">
        <v>834</v>
      </c>
      <c r="D371" s="28" t="s">
        <v>835</v>
      </c>
      <c r="E371" s="28" t="s">
        <v>514</v>
      </c>
      <c r="F371" s="29">
        <v>0.185</v>
      </c>
      <c r="G371" s="30">
        <v>1</v>
      </c>
      <c r="H371" s="45">
        <f>F371 * G371 * 847.96272</f>
        <v>156.8731032</v>
      </c>
      <c r="I371" s="45">
        <f>F371 * G371 * 0</f>
        <v>0</v>
      </c>
      <c r="J371" s="45">
        <f>F371 * G371 * 68.63325</f>
        <v>12.697151250000001</v>
      </c>
      <c r="K371" s="45">
        <f>F371 * G371 * 807.260509</f>
        <v>149.343194165</v>
      </c>
      <c r="L371" s="45">
        <f>F371 * G371 * 181.00493</f>
        <v>33.485912050000003</v>
      </c>
      <c r="M371" s="45">
        <f>F371 * G371 * 169.592544</f>
        <v>31.37462064</v>
      </c>
      <c r="N371" s="46">
        <f t="shared" ref="N371:N377" si="141">SUM(H371:M371)</f>
        <v>383.77398130500001</v>
      </c>
      <c r="O371" s="93">
        <f t="shared" ref="O371:O377" si="142">N371*1.07*1.09*1.05</f>
        <v>469.97537411582266</v>
      </c>
      <c r="P371" s="33">
        <f t="shared" ref="P371:P377" si="143">IF($P$9&gt;0,O371/$P$9/12,0)</f>
        <v>7.3881559157992624E-3</v>
      </c>
    </row>
    <row r="372" spans="2:16" ht="30" x14ac:dyDescent="0.25">
      <c r="B372" s="26">
        <v>225</v>
      </c>
      <c r="C372" s="27" t="s">
        <v>836</v>
      </c>
      <c r="D372" s="28" t="s">
        <v>837</v>
      </c>
      <c r="E372" s="28" t="s">
        <v>514</v>
      </c>
      <c r="F372" s="29">
        <v>0.185</v>
      </c>
      <c r="G372" s="30">
        <v>1</v>
      </c>
      <c r="H372" s="45">
        <f>F372 * G372 * 794.001456</f>
        <v>146.89026935999999</v>
      </c>
      <c r="I372" s="45">
        <f>F372 * G372 * 8.09838</f>
        <v>1.4982003000000002</v>
      </c>
      <c r="J372" s="45">
        <f>F372 * G372 * 0</f>
        <v>0</v>
      </c>
      <c r="K372" s="45">
        <f>F372 * G372 * 755.889386</f>
        <v>139.83953640999999</v>
      </c>
      <c r="L372" s="45">
        <f>F372 * G372 * 163.588868</f>
        <v>30.263940579999996</v>
      </c>
      <c r="M372" s="45">
        <f>F372 * G372 * 158.800291</f>
        <v>29.378053834999996</v>
      </c>
      <c r="N372" s="46">
        <f t="shared" si="141"/>
        <v>347.87000048499999</v>
      </c>
      <c r="O372" s="93">
        <f t="shared" si="142"/>
        <v>426.00682064393834</v>
      </c>
      <c r="P372" s="33">
        <f t="shared" si="143"/>
        <v>6.6969568736077838E-3</v>
      </c>
    </row>
    <row r="373" spans="2:16" ht="30" x14ac:dyDescent="0.25">
      <c r="B373" s="26">
        <v>226</v>
      </c>
      <c r="C373" s="27" t="s">
        <v>838</v>
      </c>
      <c r="D373" s="28" t="s">
        <v>839</v>
      </c>
      <c r="E373" s="28" t="s">
        <v>514</v>
      </c>
      <c r="F373" s="29">
        <v>0.185</v>
      </c>
      <c r="G373" s="30">
        <v>1</v>
      </c>
      <c r="H373" s="45">
        <f>F373 * G373 * 334.045917</f>
        <v>61.798494644999991</v>
      </c>
      <c r="I373" s="45">
        <f>F373 * G373 * 0</f>
        <v>0</v>
      </c>
      <c r="J373" s="45">
        <f>F373 * G373 * 68.63325</f>
        <v>12.697151250000001</v>
      </c>
      <c r="K373" s="45">
        <f>F373 * G373 * 318.011713</f>
        <v>58.832166904999994</v>
      </c>
      <c r="L373" s="45">
        <f>F373 * G373 * 75.672542</f>
        <v>13.999420270000002</v>
      </c>
      <c r="M373" s="45">
        <f>F373 * G373 * 66.809183</f>
        <v>12.359698855000001</v>
      </c>
      <c r="N373" s="46">
        <f t="shared" si="141"/>
        <v>159.68693192500001</v>
      </c>
      <c r="O373" s="93">
        <f t="shared" si="142"/>
        <v>195.55501213933391</v>
      </c>
      <c r="P373" s="33">
        <f t="shared" si="143"/>
        <v>3.0741843070385133E-3</v>
      </c>
    </row>
    <row r="374" spans="2:16" ht="30" x14ac:dyDescent="0.25">
      <c r="B374" s="26">
        <v>227</v>
      </c>
      <c r="C374" s="27" t="s">
        <v>840</v>
      </c>
      <c r="D374" s="28" t="s">
        <v>841</v>
      </c>
      <c r="E374" s="28" t="s">
        <v>514</v>
      </c>
      <c r="F374" s="29">
        <v>0.20899999999999999</v>
      </c>
      <c r="G374" s="30">
        <v>1</v>
      </c>
      <c r="H374" s="45">
        <f>F374 * G374 * 847.96272</f>
        <v>177.22420847999999</v>
      </c>
      <c r="I374" s="45">
        <f>F374 * G374 * 0</f>
        <v>0</v>
      </c>
      <c r="J374" s="45">
        <f>F374 * G374 * 68.63325</f>
        <v>14.34434925</v>
      </c>
      <c r="K374" s="45">
        <f>F374 * G374 * 807.260509</f>
        <v>168.71744638099997</v>
      </c>
      <c r="L374" s="45">
        <f>F374 * G374 * 181.00493</f>
        <v>37.830030369999996</v>
      </c>
      <c r="M374" s="45">
        <f>F374 * G374 * 169.592544</f>
        <v>35.444841695999997</v>
      </c>
      <c r="N374" s="46">
        <f t="shared" si="141"/>
        <v>433.56087617699995</v>
      </c>
      <c r="O374" s="93">
        <f t="shared" si="142"/>
        <v>530.9451523794969</v>
      </c>
      <c r="P374" s="33">
        <f t="shared" si="143"/>
        <v>8.3466193859570038E-3</v>
      </c>
    </row>
    <row r="375" spans="2:16" ht="30" x14ac:dyDescent="0.25">
      <c r="B375" s="26">
        <v>228</v>
      </c>
      <c r="C375" s="27" t="s">
        <v>842</v>
      </c>
      <c r="D375" s="28" t="s">
        <v>843</v>
      </c>
      <c r="E375" s="28" t="s">
        <v>514</v>
      </c>
      <c r="F375" s="29">
        <v>0.20899999999999999</v>
      </c>
      <c r="G375" s="30">
        <v>1</v>
      </c>
      <c r="H375" s="45">
        <f>F375 * G375 * 794.001456</f>
        <v>165.94630430399999</v>
      </c>
      <c r="I375" s="45">
        <f>F375 * G375 * 8.09838</f>
        <v>1.6925614200000001</v>
      </c>
      <c r="J375" s="45">
        <f>F375 * G375 * 0</f>
        <v>0</v>
      </c>
      <c r="K375" s="45">
        <f>F375 * G375 * 755.889386</f>
        <v>157.98088167399999</v>
      </c>
      <c r="L375" s="45">
        <f>F375 * G375 * 163.588868</f>
        <v>34.190073411999997</v>
      </c>
      <c r="M375" s="45">
        <f>F375 * G375 * 158.800291</f>
        <v>33.189260818999998</v>
      </c>
      <c r="N375" s="46">
        <f t="shared" si="141"/>
        <v>392.99908162899999</v>
      </c>
      <c r="O375" s="93">
        <f t="shared" si="142"/>
        <v>481.27257034909786</v>
      </c>
      <c r="P375" s="33">
        <f t="shared" si="143"/>
        <v>7.5657512788325767E-3</v>
      </c>
    </row>
    <row r="376" spans="2:16" ht="30" x14ac:dyDescent="0.25">
      <c r="B376" s="26">
        <v>229</v>
      </c>
      <c r="C376" s="27" t="s">
        <v>844</v>
      </c>
      <c r="D376" s="28" t="s">
        <v>845</v>
      </c>
      <c r="E376" s="28" t="s">
        <v>514</v>
      </c>
      <c r="F376" s="29">
        <v>0.20899999999999999</v>
      </c>
      <c r="G376" s="30">
        <v>1</v>
      </c>
      <c r="H376" s="45">
        <f>F376 * G376 * 331.476336</f>
        <v>69.278554224000004</v>
      </c>
      <c r="I376" s="45">
        <f>F376 * G376 * 0</f>
        <v>0</v>
      </c>
      <c r="J376" s="45">
        <f>F376 * G376 * 68.63325</f>
        <v>14.34434925</v>
      </c>
      <c r="K376" s="45">
        <f>F376 * G376 * 315.565471</f>
        <v>65.953183439</v>
      </c>
      <c r="L376" s="45">
        <f>F376 * G376 * 75.145881</f>
        <v>15.705489129</v>
      </c>
      <c r="M376" s="45">
        <f>F376 * G376 * 66.295267</f>
        <v>13.855710802999999</v>
      </c>
      <c r="N376" s="46">
        <f t="shared" si="141"/>
        <v>179.13728684499998</v>
      </c>
      <c r="O376" s="93">
        <f t="shared" si="142"/>
        <v>219.3742085296897</v>
      </c>
      <c r="P376" s="33">
        <f t="shared" si="143"/>
        <v>3.448629323550426E-3</v>
      </c>
    </row>
    <row r="377" spans="2:16" ht="30" x14ac:dyDescent="0.25">
      <c r="B377" s="26">
        <v>230</v>
      </c>
      <c r="C377" s="27" t="s">
        <v>846</v>
      </c>
      <c r="D377" s="28" t="s">
        <v>847</v>
      </c>
      <c r="E377" s="28" t="s">
        <v>514</v>
      </c>
      <c r="F377" s="29">
        <v>0.20899999999999999</v>
      </c>
      <c r="G377" s="30">
        <v>1</v>
      </c>
      <c r="H377" s="45">
        <f>F377 * G377 * 24.29286</f>
        <v>5.0772077400000004</v>
      </c>
      <c r="I377" s="45">
        <f>F377 * G377 * 0</f>
        <v>0</v>
      </c>
      <c r="J377" s="45">
        <f>F377 * G377 * 0</f>
        <v>0</v>
      </c>
      <c r="K377" s="45">
        <f>F377 * G377 * 23.126803</f>
        <v>4.8335018269999992</v>
      </c>
      <c r="L377" s="45">
        <f>F377 * G377 * 4.979064</f>
        <v>1.040624376</v>
      </c>
      <c r="M377" s="45">
        <f>F377 * G377 * 4.858572</f>
        <v>1.0154415479999999</v>
      </c>
      <c r="N377" s="46">
        <f t="shared" si="141"/>
        <v>11.966775491</v>
      </c>
      <c r="O377" s="93">
        <f t="shared" si="142"/>
        <v>14.654692767910968</v>
      </c>
      <c r="P377" s="33">
        <f t="shared" si="143"/>
        <v>2.3037623039538085E-4</v>
      </c>
    </row>
    <row r="378" spans="2:16" x14ac:dyDescent="0.25">
      <c r="B378" s="35"/>
      <c r="C378" s="36" t="s">
        <v>848</v>
      </c>
      <c r="D378" s="104" t="s">
        <v>849</v>
      </c>
      <c r="E378" s="104"/>
      <c r="F378" s="10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</row>
    <row r="379" spans="2:16" ht="30" x14ac:dyDescent="0.25">
      <c r="B379" s="26">
        <v>231</v>
      </c>
      <c r="C379" s="27" t="s">
        <v>850</v>
      </c>
      <c r="D379" s="28" t="s">
        <v>851</v>
      </c>
      <c r="E379" s="28" t="s">
        <v>852</v>
      </c>
      <c r="F379" s="29">
        <v>11.138</v>
      </c>
      <c r="G379" s="30">
        <v>1</v>
      </c>
      <c r="H379" s="45">
        <f>F379 * G379 * 187.25954</f>
        <v>2085.6967565199998</v>
      </c>
      <c r="I379" s="45">
        <f>F379 * G379 * 0</f>
        <v>0</v>
      </c>
      <c r="J379" s="45">
        <f>F379 * G379 * 0</f>
        <v>0</v>
      </c>
      <c r="K379" s="45">
        <f>F379 * G379 * 178.271082</f>
        <v>1985.5833113160002</v>
      </c>
      <c r="L379" s="45">
        <f>F379 * G379 * 38.380715</f>
        <v>427.48440367000001</v>
      </c>
      <c r="M379" s="45">
        <f>F379 * G379 * 37.451908</f>
        <v>417.13935130400006</v>
      </c>
      <c r="N379" s="46">
        <f>SUM(H379:M379)</f>
        <v>4915.9038228099998</v>
      </c>
      <c r="O379" s="93">
        <f t="shared" ref="O379:O380" si="144">N379*1.07*1.09*1.05</f>
        <v>6020.0895599704691</v>
      </c>
      <c r="P379" s="33">
        <f t="shared" ref="P379:P380" si="145">IF($P$9&gt;0,O379/$P$9/12,0)</f>
        <v>9.4637640067447473E-2</v>
      </c>
    </row>
    <row r="380" spans="2:16" ht="30" x14ac:dyDescent="0.25">
      <c r="B380" s="26">
        <v>232</v>
      </c>
      <c r="C380" s="27" t="s">
        <v>853</v>
      </c>
      <c r="D380" s="28" t="s">
        <v>854</v>
      </c>
      <c r="E380" s="28" t="s">
        <v>852</v>
      </c>
      <c r="F380" s="29">
        <v>11.138</v>
      </c>
      <c r="G380" s="30">
        <v>1</v>
      </c>
      <c r="H380" s="45">
        <f>F380 * G380 * 187.25954</f>
        <v>2085.6967565199998</v>
      </c>
      <c r="I380" s="45">
        <f>F380 * G380 * 0</f>
        <v>0</v>
      </c>
      <c r="J380" s="45">
        <f>F380 * G380 * 0</f>
        <v>0</v>
      </c>
      <c r="K380" s="45">
        <f>F380 * G380 * 178.271082</f>
        <v>1985.5833113160002</v>
      </c>
      <c r="L380" s="45">
        <f>F380 * G380 * 38.380715</f>
        <v>427.48440367000001</v>
      </c>
      <c r="M380" s="45">
        <f>F380 * G380 * 37.451908</f>
        <v>417.13935130400006</v>
      </c>
      <c r="N380" s="46">
        <f>SUM(H380:M380)</f>
        <v>4915.9038228099998</v>
      </c>
      <c r="O380" s="93">
        <f t="shared" si="144"/>
        <v>6020.0895599704691</v>
      </c>
      <c r="P380" s="33">
        <f t="shared" si="145"/>
        <v>9.4637640067447473E-2</v>
      </c>
    </row>
    <row r="381" spans="2:16" x14ac:dyDescent="0.25">
      <c r="B381" s="35"/>
      <c r="C381" s="36" t="s">
        <v>654</v>
      </c>
      <c r="D381" s="96" t="s">
        <v>655</v>
      </c>
      <c r="E381" s="96"/>
      <c r="F381" s="96"/>
      <c r="G381" s="96"/>
      <c r="H381" s="96"/>
      <c r="I381" s="96"/>
      <c r="J381" s="96"/>
      <c r="K381" s="96"/>
      <c r="L381" s="96"/>
      <c r="M381" s="96"/>
      <c r="N381" s="96"/>
      <c r="O381" s="96"/>
      <c r="P381" s="96"/>
    </row>
    <row r="382" spans="2:16" x14ac:dyDescent="0.25">
      <c r="B382" s="35"/>
      <c r="C382" s="36" t="s">
        <v>855</v>
      </c>
      <c r="D382" s="104" t="s">
        <v>856</v>
      </c>
      <c r="E382" s="104"/>
      <c r="F382" s="10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</row>
    <row r="383" spans="2:16" ht="45" x14ac:dyDescent="0.25">
      <c r="B383" s="26">
        <v>233</v>
      </c>
      <c r="C383" s="27" t="s">
        <v>857</v>
      </c>
      <c r="D383" s="28" t="s">
        <v>858</v>
      </c>
      <c r="E383" s="28" t="s">
        <v>859</v>
      </c>
      <c r="F383" s="29">
        <v>1</v>
      </c>
      <c r="G383" s="30">
        <v>1</v>
      </c>
      <c r="H383" s="45">
        <f>F383 * G383 * 22.80412</f>
        <v>22.804120000000001</v>
      </c>
      <c r="I383" s="45">
        <f>F383 * G383 * 0</f>
        <v>0</v>
      </c>
      <c r="J383" s="45">
        <f>F383 * G383 * 0</f>
        <v>0</v>
      </c>
      <c r="K383" s="45">
        <f>F383 * G383 * 21.709522</f>
        <v>21.709522</v>
      </c>
      <c r="L383" s="45">
        <f>F383 * G383 * 4.673932</f>
        <v>4.6739319999999998</v>
      </c>
      <c r="M383" s="45">
        <f>F383 * G383 * 4.560824</f>
        <v>4.5608240000000002</v>
      </c>
      <c r="N383" s="46">
        <f>SUM(H383:M383)</f>
        <v>53.748398000000009</v>
      </c>
      <c r="O383" s="93">
        <f t="shared" ref="O383:O385" si="146">N383*1.07*1.09*1.05</f>
        <v>65.821094416770023</v>
      </c>
      <c r="P383" s="33">
        <f t="shared" ref="P383:P385" si="147">IF($P$9&gt;0,O383/$P$9/12,0)</f>
        <v>1.0347276365586684E-3</v>
      </c>
    </row>
    <row r="384" spans="2:16" ht="30" x14ac:dyDescent="0.25">
      <c r="B384" s="26">
        <v>234</v>
      </c>
      <c r="C384" s="27" t="s">
        <v>860</v>
      </c>
      <c r="D384" s="28" t="s">
        <v>861</v>
      </c>
      <c r="E384" s="28" t="s">
        <v>859</v>
      </c>
      <c r="F384" s="29">
        <v>1</v>
      </c>
      <c r="G384" s="30">
        <v>12</v>
      </c>
      <c r="H384" s="45">
        <f>F384 * G384 * 20.24405</f>
        <v>242.92860000000002</v>
      </c>
      <c r="I384" s="45">
        <f>F384 * G384 * 0</f>
        <v>0</v>
      </c>
      <c r="J384" s="45">
        <f>F384 * G384 * 0</f>
        <v>0</v>
      </c>
      <c r="K384" s="45">
        <f>F384 * G384 * 19.272336</f>
        <v>231.26803200000001</v>
      </c>
      <c r="L384" s="45">
        <f>F384 * G384 * 4.149221</f>
        <v>49.790651999999994</v>
      </c>
      <c r="M384" s="45">
        <f>F384 * G384 * 4.04881</f>
        <v>48.585719999999995</v>
      </c>
      <c r="N384" s="46">
        <f>SUM(H384:M384)</f>
        <v>572.57300400000008</v>
      </c>
      <c r="O384" s="93">
        <f t="shared" si="146"/>
        <v>701.18148929346012</v>
      </c>
      <c r="P384" s="33">
        <f t="shared" si="147"/>
        <v>1.1022786412838145E-2</v>
      </c>
    </row>
    <row r="385" spans="2:16" ht="45" x14ac:dyDescent="0.25">
      <c r="B385" s="26">
        <v>235</v>
      </c>
      <c r="C385" s="27" t="s">
        <v>862</v>
      </c>
      <c r="D385" s="28" t="s">
        <v>863</v>
      </c>
      <c r="E385" s="28" t="s">
        <v>859</v>
      </c>
      <c r="F385" s="29">
        <v>1</v>
      </c>
      <c r="G385" s="30">
        <v>1</v>
      </c>
      <c r="H385" s="45">
        <f>F385 * G385 * 60.73215</f>
        <v>60.732149999999997</v>
      </c>
      <c r="I385" s="45">
        <f>F385 * G385 * 0</f>
        <v>0</v>
      </c>
      <c r="J385" s="45">
        <f>F385 * G385 * 0</f>
        <v>0</v>
      </c>
      <c r="K385" s="45">
        <f>F385 * G385 * 57.817006</f>
        <v>57.817005999999999</v>
      </c>
      <c r="L385" s="45">
        <f>F385 * G385 * 12.447662</f>
        <v>12.447661999999999</v>
      </c>
      <c r="M385" s="45">
        <f>F385 * G385 * 12.14643</f>
        <v>12.146430000000001</v>
      </c>
      <c r="N385" s="46">
        <f>SUM(H385:M385)</f>
        <v>143.143248</v>
      </c>
      <c r="O385" s="93">
        <f t="shared" si="146"/>
        <v>175.29536864952001</v>
      </c>
      <c r="P385" s="33">
        <f t="shared" si="147"/>
        <v>2.7556965454555746E-3</v>
      </c>
    </row>
    <row r="386" spans="2:16" x14ac:dyDescent="0.25">
      <c r="B386" s="35"/>
      <c r="C386" s="36" t="s">
        <v>864</v>
      </c>
      <c r="D386" s="104" t="s">
        <v>865</v>
      </c>
      <c r="E386" s="104"/>
      <c r="F386" s="10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</row>
    <row r="387" spans="2:16" ht="45" x14ac:dyDescent="0.25">
      <c r="B387" s="26">
        <v>236</v>
      </c>
      <c r="C387" s="27" t="s">
        <v>866</v>
      </c>
      <c r="D387" s="28" t="s">
        <v>867</v>
      </c>
      <c r="E387" s="28" t="s">
        <v>859</v>
      </c>
      <c r="F387" s="29">
        <v>1</v>
      </c>
      <c r="G387" s="30">
        <v>1</v>
      </c>
      <c r="H387" s="45">
        <f>F387 * G387 * 36.486592</f>
        <v>36.486592000000002</v>
      </c>
      <c r="I387" s="45">
        <f>F387 * G387 * 0</f>
        <v>0</v>
      </c>
      <c r="J387" s="45">
        <f>F387 * G387 * 0</f>
        <v>0</v>
      </c>
      <c r="K387" s="45">
        <f>F387 * G387 * 34.735236</f>
        <v>34.735236</v>
      </c>
      <c r="L387" s="45">
        <f>F387 * G387 * 7.478292</f>
        <v>7.4782919999999997</v>
      </c>
      <c r="M387" s="45">
        <f>F387 * G387 * 7.297318</f>
        <v>7.2973179999999997</v>
      </c>
      <c r="N387" s="46">
        <f>SUM(H387:M387)</f>
        <v>85.997438000000002</v>
      </c>
      <c r="O387" s="93">
        <f t="shared" ref="O387:O390" si="148">N387*1.07*1.09*1.05</f>
        <v>105.31375253637003</v>
      </c>
      <c r="P387" s="33">
        <f t="shared" ref="P387:P390" si="149">IF($P$9&gt;0,O387/$P$9/12,0)</f>
        <v>1.6555642415954544E-3</v>
      </c>
    </row>
    <row r="388" spans="2:16" ht="30" x14ac:dyDescent="0.25">
      <c r="B388" s="26">
        <v>237</v>
      </c>
      <c r="C388" s="27" t="s">
        <v>868</v>
      </c>
      <c r="D388" s="28" t="s">
        <v>869</v>
      </c>
      <c r="E388" s="28" t="s">
        <v>859</v>
      </c>
      <c r="F388" s="29">
        <v>1</v>
      </c>
      <c r="G388" s="30">
        <v>12</v>
      </c>
      <c r="H388" s="45">
        <f>F388 * G388 * 20.24405</f>
        <v>242.92860000000002</v>
      </c>
      <c r="I388" s="45">
        <f>F388 * G388 * 0</f>
        <v>0</v>
      </c>
      <c r="J388" s="45">
        <f>F388 * G388 * 0</f>
        <v>0</v>
      </c>
      <c r="K388" s="45">
        <f>F388 * G388 * 19.272336</f>
        <v>231.26803200000001</v>
      </c>
      <c r="L388" s="45">
        <f>F388 * G388 * 4.149221</f>
        <v>49.790651999999994</v>
      </c>
      <c r="M388" s="45">
        <f>F388 * G388 * 4.04881</f>
        <v>48.585719999999995</v>
      </c>
      <c r="N388" s="46">
        <f>SUM(H388:M388)</f>
        <v>572.57300400000008</v>
      </c>
      <c r="O388" s="93">
        <f t="shared" si="148"/>
        <v>701.18148929346012</v>
      </c>
      <c r="P388" s="33">
        <f t="shared" si="149"/>
        <v>1.1022786412838145E-2</v>
      </c>
    </row>
    <row r="389" spans="2:16" ht="45" x14ac:dyDescent="0.25">
      <c r="B389" s="26">
        <v>238</v>
      </c>
      <c r="C389" s="27" t="s">
        <v>870</v>
      </c>
      <c r="D389" s="28" t="s">
        <v>871</v>
      </c>
      <c r="E389" s="28" t="s">
        <v>667</v>
      </c>
      <c r="F389" s="29">
        <v>1</v>
      </c>
      <c r="G389" s="30">
        <v>1</v>
      </c>
      <c r="H389" s="45">
        <f>F389 * G389 * 60.73215</f>
        <v>60.732149999999997</v>
      </c>
      <c r="I389" s="45">
        <f>F389 * G389 * 0</f>
        <v>0</v>
      </c>
      <c r="J389" s="45">
        <f>F389 * G389 * 0</f>
        <v>0</v>
      </c>
      <c r="K389" s="45">
        <f>F389 * G389 * 57.817006</f>
        <v>57.817005999999999</v>
      </c>
      <c r="L389" s="45">
        <f>F389 * G389 * 12.447662</f>
        <v>12.447661999999999</v>
      </c>
      <c r="M389" s="45">
        <f>F389 * G389 * 12.14643</f>
        <v>12.146430000000001</v>
      </c>
      <c r="N389" s="46">
        <f>SUM(H389:M389)</f>
        <v>143.143248</v>
      </c>
      <c r="O389" s="93">
        <f t="shared" si="148"/>
        <v>175.29536864952001</v>
      </c>
      <c r="P389" s="33">
        <f t="shared" si="149"/>
        <v>2.7556965454555746E-3</v>
      </c>
    </row>
    <row r="390" spans="2:16" ht="45" x14ac:dyDescent="0.25">
      <c r="B390" s="26">
        <v>239</v>
      </c>
      <c r="C390" s="27" t="s">
        <v>872</v>
      </c>
      <c r="D390" s="28" t="s">
        <v>873</v>
      </c>
      <c r="E390" s="28" t="s">
        <v>667</v>
      </c>
      <c r="F390" s="29">
        <v>1</v>
      </c>
      <c r="G390" s="30">
        <v>1</v>
      </c>
      <c r="H390" s="45">
        <f>F390 * G390 * 196.115432</f>
        <v>196.115432</v>
      </c>
      <c r="I390" s="45">
        <f>F390 * G390 * 0</f>
        <v>0</v>
      </c>
      <c r="J390" s="45">
        <f>F390 * G390 * 0</f>
        <v>0</v>
      </c>
      <c r="K390" s="45">
        <f>F390 * G390 * 186.701891</f>
        <v>186.70189099999999</v>
      </c>
      <c r="L390" s="45">
        <f>F390 * G390 * 40.195819</f>
        <v>40.195819</v>
      </c>
      <c r="M390" s="45">
        <f>F390 * G390 * 39.223086</f>
        <v>39.223086000000002</v>
      </c>
      <c r="N390" s="46">
        <f>SUM(H390:M390)</f>
        <v>462.23622800000004</v>
      </c>
      <c r="O390" s="93">
        <f t="shared" si="148"/>
        <v>566.06141835222024</v>
      </c>
      <c r="P390" s="33">
        <f t="shared" si="149"/>
        <v>8.8986577745114159E-3</v>
      </c>
    </row>
    <row r="391" spans="2:16" ht="13.9" customHeight="1" x14ac:dyDescent="0.25">
      <c r="B391" s="97" t="s">
        <v>371</v>
      </c>
      <c r="C391" s="97"/>
      <c r="D391" s="97"/>
      <c r="E391" s="97"/>
      <c r="F391" s="97"/>
      <c r="G391" s="97"/>
      <c r="H391" s="47">
        <f t="shared" ref="H391:P391" si="150">SUM(H311:H390)</f>
        <v>88075.746606488436</v>
      </c>
      <c r="I391" s="47">
        <f t="shared" si="150"/>
        <v>130796.38378241529</v>
      </c>
      <c r="J391" s="47">
        <f t="shared" si="150"/>
        <v>54.083001000000003</v>
      </c>
      <c r="K391" s="47">
        <f t="shared" si="150"/>
        <v>83848.110773397435</v>
      </c>
      <c r="L391" s="47">
        <f t="shared" si="150"/>
        <v>31791.304043634096</v>
      </c>
      <c r="M391" s="47">
        <f t="shared" si="150"/>
        <v>17615.149318038006</v>
      </c>
      <c r="N391" s="47">
        <f t="shared" si="150"/>
        <v>352180.77752497315</v>
      </c>
      <c r="O391" s="47">
        <f t="shared" si="150"/>
        <v>431285.86286874523</v>
      </c>
      <c r="P391" s="48">
        <f t="shared" si="150"/>
        <v>6.7799450240323402</v>
      </c>
    </row>
    <row r="392" spans="2:16" x14ac:dyDescent="0.25">
      <c r="B392" s="98" t="s">
        <v>874</v>
      </c>
      <c r="C392" s="98"/>
      <c r="D392" s="98"/>
      <c r="E392" s="98"/>
      <c r="F392" s="98"/>
      <c r="G392" s="98"/>
      <c r="H392" s="98"/>
      <c r="I392" s="98"/>
      <c r="J392" s="98"/>
      <c r="K392" s="98"/>
      <c r="L392" s="98"/>
      <c r="M392" s="102"/>
      <c r="N392" s="102"/>
      <c r="O392" s="41"/>
      <c r="P392" s="42"/>
    </row>
    <row r="393" spans="2:16" x14ac:dyDescent="0.25">
      <c r="B393" s="98"/>
      <c r="C393" s="98"/>
      <c r="D393" s="98"/>
      <c r="E393" s="98"/>
      <c r="F393" s="98"/>
      <c r="G393" s="98"/>
      <c r="H393" s="98"/>
      <c r="I393" s="98"/>
      <c r="J393" s="98"/>
      <c r="K393" s="98"/>
      <c r="L393" s="98"/>
      <c r="M393" s="103"/>
      <c r="N393" s="103"/>
      <c r="O393" s="43"/>
      <c r="P393" s="44"/>
    </row>
    <row r="394" spans="2:16" ht="13.9" customHeight="1" x14ac:dyDescent="0.25">
      <c r="B394" s="23"/>
      <c r="C394" s="24" t="s">
        <v>875</v>
      </c>
      <c r="D394" s="100" t="s">
        <v>876</v>
      </c>
      <c r="E394" s="100"/>
      <c r="F394" s="100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</row>
    <row r="395" spans="2:16" x14ac:dyDescent="0.25">
      <c r="B395" s="35"/>
      <c r="C395" s="36" t="s">
        <v>877</v>
      </c>
      <c r="D395" s="96" t="s">
        <v>878</v>
      </c>
      <c r="E395" s="96"/>
      <c r="F395" s="96"/>
      <c r="G395" s="96"/>
      <c r="H395" s="96"/>
      <c r="I395" s="96"/>
      <c r="J395" s="96"/>
      <c r="K395" s="96"/>
      <c r="L395" s="96"/>
      <c r="M395" s="96"/>
      <c r="N395" s="96"/>
      <c r="O395" s="96"/>
      <c r="P395" s="96"/>
    </row>
    <row r="396" spans="2:16" x14ac:dyDescent="0.25">
      <c r="B396" s="35"/>
      <c r="C396" s="36" t="s">
        <v>879</v>
      </c>
      <c r="D396" s="104" t="s">
        <v>880</v>
      </c>
      <c r="E396" s="104"/>
      <c r="F396" s="10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</row>
    <row r="397" spans="2:16" ht="30" x14ac:dyDescent="0.25">
      <c r="B397" s="26">
        <v>240</v>
      </c>
      <c r="C397" s="27" t="s">
        <v>881</v>
      </c>
      <c r="D397" s="28" t="s">
        <v>882</v>
      </c>
      <c r="E397" s="28" t="s">
        <v>883</v>
      </c>
      <c r="F397" s="29">
        <v>0.24970000000000001</v>
      </c>
      <c r="G397" s="30">
        <v>2</v>
      </c>
      <c r="H397" s="45">
        <f>F397 * G397 * 1214.12844</f>
        <v>606.33574293599997</v>
      </c>
      <c r="I397" s="45">
        <f>F397 * G397 * 561.602173</f>
        <v>280.46412519620003</v>
      </c>
      <c r="J397" s="45">
        <f>F397 * G397 * 0</f>
        <v>0</v>
      </c>
      <c r="K397" s="45">
        <f>F397 * G397 * 1155.850275</f>
        <v>577.23162733499998</v>
      </c>
      <c r="L397" s="45">
        <f>F397 * G397 * 307.815993</f>
        <v>153.7233069042</v>
      </c>
      <c r="M397" s="45">
        <f>F397 * G397 * 242.825688</f>
        <v>121.26714858720001</v>
      </c>
      <c r="N397" s="46">
        <f>SUM(H397:M397)</f>
        <v>1739.0219509585997</v>
      </c>
      <c r="O397" s="93">
        <f t="shared" ref="O397:O398" si="151">N397*1.07*1.09*1.05</f>
        <v>2129.6323664731658</v>
      </c>
      <c r="P397" s="33">
        <f t="shared" ref="P397:P398" si="152">IF($P$9&gt;0,O397/$P$9/12,0)</f>
        <v>3.3478468944116928E-2</v>
      </c>
    </row>
    <row r="398" spans="2:16" ht="30" x14ac:dyDescent="0.25">
      <c r="B398" s="26">
        <v>241</v>
      </c>
      <c r="C398" s="27" t="s">
        <v>884</v>
      </c>
      <c r="D398" s="28" t="s">
        <v>885</v>
      </c>
      <c r="E398" s="28" t="s">
        <v>883</v>
      </c>
      <c r="F398" s="29">
        <v>0.10589999999999999</v>
      </c>
      <c r="G398" s="30">
        <v>2</v>
      </c>
      <c r="H398" s="45">
        <f>F398 * G398 * 2131.469928</f>
        <v>451.44533075039999</v>
      </c>
      <c r="I398" s="45">
        <f>F398 * G398 * 867.523099</f>
        <v>183.7413923682</v>
      </c>
      <c r="J398" s="45">
        <f>F398 * G398 * 0</f>
        <v>0</v>
      </c>
      <c r="K398" s="45">
        <f>F398 * G398 * 2029.159371</f>
        <v>429.7759547778</v>
      </c>
      <c r="L398" s="45">
        <f>F398 * G398 * 527.956002</f>
        <v>111.82108122359999</v>
      </c>
      <c r="M398" s="45">
        <f>F398 * G398 * 426.293986</f>
        <v>90.289066234800003</v>
      </c>
      <c r="N398" s="46">
        <f>SUM(H398:M398)</f>
        <v>1267.0728253548</v>
      </c>
      <c r="O398" s="93">
        <f t="shared" si="151"/>
        <v>1551.6763880218687</v>
      </c>
      <c r="P398" s="33">
        <f t="shared" si="152"/>
        <v>2.4392825064797032E-2</v>
      </c>
    </row>
    <row r="399" spans="2:16" x14ac:dyDescent="0.25">
      <c r="B399" s="35"/>
      <c r="C399" s="36" t="s">
        <v>886</v>
      </c>
      <c r="D399" s="104" t="s">
        <v>887</v>
      </c>
      <c r="E399" s="104"/>
      <c r="F399" s="10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</row>
    <row r="400" spans="2:16" ht="30" x14ac:dyDescent="0.25">
      <c r="B400" s="26">
        <v>242</v>
      </c>
      <c r="C400" s="27" t="s">
        <v>888</v>
      </c>
      <c r="D400" s="28" t="s">
        <v>889</v>
      </c>
      <c r="E400" s="28" t="s">
        <v>890</v>
      </c>
      <c r="F400" s="29">
        <v>2</v>
      </c>
      <c r="G400" s="30">
        <v>1</v>
      </c>
      <c r="H400" s="45">
        <f>F400 * G400 * 96.988463</f>
        <v>193.97692599999999</v>
      </c>
      <c r="I400" s="45">
        <f>F400 * G400 * 241.22913</f>
        <v>482.45826</v>
      </c>
      <c r="J400" s="45">
        <f>F400 * G400 * 0</f>
        <v>0</v>
      </c>
      <c r="K400" s="45">
        <f>F400 * G400 * 92.333017</f>
        <v>184.666034</v>
      </c>
      <c r="L400" s="45">
        <f>F400 * G400 * 45.207814</f>
        <v>90.415627999999998</v>
      </c>
      <c r="M400" s="45">
        <f>F400 * G400 * 19.397693</f>
        <v>38.795386000000001</v>
      </c>
      <c r="N400" s="46">
        <f>SUM(H400:M400)</f>
        <v>990.31223399999988</v>
      </c>
      <c r="O400" s="93">
        <f t="shared" ref="O400:O403" si="153">N400*1.07*1.09*1.05</f>
        <v>1212.75121643991</v>
      </c>
      <c r="P400" s="33">
        <f t="shared" ref="P400:P403" si="154">IF($P$9&gt;0,O400/$P$9/12,0)</f>
        <v>1.9064818217316072E-2</v>
      </c>
    </row>
    <row r="401" spans="2:16" ht="30" x14ac:dyDescent="0.25">
      <c r="B401" s="26">
        <v>243</v>
      </c>
      <c r="C401" s="27" t="s">
        <v>891</v>
      </c>
      <c r="D401" s="28" t="s">
        <v>892</v>
      </c>
      <c r="E401" s="28" t="s">
        <v>890</v>
      </c>
      <c r="F401" s="29">
        <v>2</v>
      </c>
      <c r="G401" s="30">
        <v>1</v>
      </c>
      <c r="H401" s="45">
        <f>F401 * G401 * 111.628231</f>
        <v>223.256462</v>
      </c>
      <c r="I401" s="45">
        <f>F401 * G401 * 241.22913</f>
        <v>482.45826</v>
      </c>
      <c r="J401" s="45">
        <f>F401 * G401 * 0</f>
        <v>0</v>
      </c>
      <c r="K401" s="45">
        <f>F401 * G401 * 106.270076</f>
        <v>212.54015200000001</v>
      </c>
      <c r="L401" s="45">
        <f>F401 * G401 * 48.208381</f>
        <v>96.416762000000006</v>
      </c>
      <c r="M401" s="45">
        <f>F401 * G401 * 22.325646</f>
        <v>44.651291999999998</v>
      </c>
      <c r="N401" s="46">
        <f>SUM(H401:M401)</f>
        <v>1059.322928</v>
      </c>
      <c r="O401" s="93">
        <f t="shared" si="153"/>
        <v>1297.2627474727201</v>
      </c>
      <c r="P401" s="33">
        <f t="shared" si="154"/>
        <v>2.0393365205821544E-2</v>
      </c>
    </row>
    <row r="402" spans="2:16" ht="30" x14ac:dyDescent="0.25">
      <c r="B402" s="26">
        <v>244</v>
      </c>
      <c r="C402" s="27" t="s">
        <v>893</v>
      </c>
      <c r="D402" s="28" t="s">
        <v>894</v>
      </c>
      <c r="E402" s="28" t="s">
        <v>890</v>
      </c>
      <c r="F402" s="29">
        <v>2</v>
      </c>
      <c r="G402" s="30">
        <v>1</v>
      </c>
      <c r="H402" s="45">
        <f>F402 * G402 * 118.948115</f>
        <v>237.89623</v>
      </c>
      <c r="I402" s="45">
        <f>F402 * G402 * 241.22913</f>
        <v>482.45826</v>
      </c>
      <c r="J402" s="45">
        <f>F402 * G402 * 0</f>
        <v>0</v>
      </c>
      <c r="K402" s="45">
        <f>F402 * G402 * 113.238606</f>
        <v>226.47721200000001</v>
      </c>
      <c r="L402" s="45">
        <f>F402 * G402 * 49.708664</f>
        <v>99.417327999999998</v>
      </c>
      <c r="M402" s="45">
        <f>F402 * G402 * 23.789623</f>
        <v>47.579245999999998</v>
      </c>
      <c r="N402" s="46">
        <f>SUM(H402:M402)</f>
        <v>1093.828276</v>
      </c>
      <c r="O402" s="93">
        <f t="shared" si="153"/>
        <v>1339.5185142137404</v>
      </c>
      <c r="P402" s="33">
        <f t="shared" si="154"/>
        <v>2.1057638719325606E-2</v>
      </c>
    </row>
    <row r="403" spans="2:16" ht="30" x14ac:dyDescent="0.25">
      <c r="B403" s="26">
        <v>245</v>
      </c>
      <c r="C403" s="27" t="s">
        <v>895</v>
      </c>
      <c r="D403" s="28" t="s">
        <v>896</v>
      </c>
      <c r="E403" s="28" t="s">
        <v>890</v>
      </c>
      <c r="F403" s="29">
        <v>2</v>
      </c>
      <c r="G403" s="30">
        <v>1</v>
      </c>
      <c r="H403" s="45">
        <f>F403 * G403 * 140.907767</f>
        <v>281.81553400000001</v>
      </c>
      <c r="I403" s="45">
        <f>F403 * G403 * 241.22913</f>
        <v>482.45826</v>
      </c>
      <c r="J403" s="45">
        <f>F403 * G403 * 0</f>
        <v>0</v>
      </c>
      <c r="K403" s="45">
        <f>F403 * G403 * 134.144195</f>
        <v>268.28838999999999</v>
      </c>
      <c r="L403" s="45">
        <f>F403 * G403 * 54.209514</f>
        <v>108.419028</v>
      </c>
      <c r="M403" s="45">
        <f>F403 * G403 * 28.181553</f>
        <v>56.363106000000002</v>
      </c>
      <c r="N403" s="46">
        <f>SUM(H403:M403)</f>
        <v>1197.3443179999999</v>
      </c>
      <c r="O403" s="93">
        <f t="shared" si="153"/>
        <v>1466.2858119875702</v>
      </c>
      <c r="P403" s="33">
        <f t="shared" si="154"/>
        <v>2.305045922133513E-2</v>
      </c>
    </row>
    <row r="404" spans="2:16" x14ac:dyDescent="0.25">
      <c r="B404" s="35"/>
      <c r="C404" s="36" t="s">
        <v>897</v>
      </c>
      <c r="D404" s="104" t="s">
        <v>898</v>
      </c>
      <c r="E404" s="104"/>
      <c r="F404" s="10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</row>
    <row r="405" spans="2:16" x14ac:dyDescent="0.25">
      <c r="B405" s="26">
        <v>246</v>
      </c>
      <c r="C405" s="27" t="s">
        <v>899</v>
      </c>
      <c r="D405" s="28" t="s">
        <v>900</v>
      </c>
      <c r="E405" s="28" t="s">
        <v>901</v>
      </c>
      <c r="F405" s="29">
        <v>2</v>
      </c>
      <c r="G405" s="30">
        <v>1</v>
      </c>
      <c r="H405" s="45">
        <f>F405 * G405 * 161.909252</f>
        <v>323.81850400000002</v>
      </c>
      <c r="I405" s="45">
        <f>F405 * G405 * 506.34036</f>
        <v>1012.68072</v>
      </c>
      <c r="J405" s="45">
        <f>F405 * G405 * 0</f>
        <v>0</v>
      </c>
      <c r="K405" s="45">
        <f>F405 * G405 * 154.137608</f>
        <v>308.275216</v>
      </c>
      <c r="L405" s="45">
        <f>F405 * G405 * 86.350658</f>
        <v>172.70131599999999</v>
      </c>
      <c r="M405" s="45">
        <f>F405 * G405 * 32.38185</f>
        <v>64.7637</v>
      </c>
      <c r="N405" s="46">
        <f>SUM(H405:M405)</f>
        <v>1882.2394559999998</v>
      </c>
      <c r="O405" s="93">
        <f t="shared" ref="O405" si="155">N405*1.07*1.09*1.05</f>
        <v>2305.0186714094402</v>
      </c>
      <c r="P405" s="33">
        <f>IF($P$9&gt;0,O405/$P$9/12,0)</f>
        <v>3.6235595035676291E-2</v>
      </c>
    </row>
    <row r="406" spans="2:16" x14ac:dyDescent="0.25">
      <c r="B406" s="35"/>
      <c r="C406" s="36" t="s">
        <v>902</v>
      </c>
      <c r="D406" s="104" t="s">
        <v>903</v>
      </c>
      <c r="E406" s="104"/>
      <c r="F406" s="10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</row>
    <row r="407" spans="2:16" ht="30" x14ac:dyDescent="0.25">
      <c r="B407" s="26">
        <v>247</v>
      </c>
      <c r="C407" s="27" t="s">
        <v>904</v>
      </c>
      <c r="D407" s="28" t="s">
        <v>905</v>
      </c>
      <c r="E407" s="28" t="s">
        <v>906</v>
      </c>
      <c r="F407" s="29">
        <v>1</v>
      </c>
      <c r="G407" s="30">
        <v>0.5</v>
      </c>
      <c r="H407" s="45">
        <f>F407 * G407 * 323.818504</f>
        <v>161.90925200000001</v>
      </c>
      <c r="I407" s="45">
        <f>F407 * G407 * 167.480541</f>
        <v>83.740270499999994</v>
      </c>
      <c r="J407" s="45">
        <f>F407 * G407 * 0</f>
        <v>0</v>
      </c>
      <c r="K407" s="45">
        <f>F407 * G407 * 308.275216</f>
        <v>154.137608</v>
      </c>
      <c r="L407" s="45">
        <f>F407 * G407 * 83.955297</f>
        <v>41.977648500000001</v>
      </c>
      <c r="M407" s="45">
        <f>F407 * G407 * 64.763701</f>
        <v>32.381850499999999</v>
      </c>
      <c r="N407" s="46">
        <f>SUM(H407:M407)</f>
        <v>474.14662949999996</v>
      </c>
      <c r="O407" s="93">
        <f t="shared" ref="O407:O411" si="156">N407*1.07*1.09*1.05</f>
        <v>580.64707468514246</v>
      </c>
      <c r="P407" s="33">
        <f t="shared" ref="P407:P411" si="157">IF($P$9&gt;0,O407/$P$9/12,0)</f>
        <v>9.1279487311378745E-3</v>
      </c>
    </row>
    <row r="408" spans="2:16" ht="30" x14ac:dyDescent="0.25">
      <c r="B408" s="26">
        <v>248</v>
      </c>
      <c r="C408" s="27" t="s">
        <v>907</v>
      </c>
      <c r="D408" s="28" t="s">
        <v>908</v>
      </c>
      <c r="E408" s="28" t="s">
        <v>906</v>
      </c>
      <c r="F408" s="29">
        <v>1</v>
      </c>
      <c r="G408" s="30">
        <v>0.5</v>
      </c>
      <c r="H408" s="45">
        <f>F408 * G408 * 385.389628</f>
        <v>192.69481400000001</v>
      </c>
      <c r="I408" s="45">
        <f>F408 * G408 * 281.362566</f>
        <v>140.68128300000001</v>
      </c>
      <c r="J408" s="45">
        <f>F408 * G408 * 0</f>
        <v>0</v>
      </c>
      <c r="K408" s="45">
        <f>F408 * G408 * 366.890926</f>
        <v>183.44546299999999</v>
      </c>
      <c r="L408" s="45">
        <f>F408 * G408 * 108.532528</f>
        <v>54.266264</v>
      </c>
      <c r="M408" s="45">
        <f>F408 * G408 * 77.077926</f>
        <v>38.538963000000003</v>
      </c>
      <c r="N408" s="46">
        <f>SUM(H408:M408)</f>
        <v>609.62678699999992</v>
      </c>
      <c r="O408" s="93">
        <f t="shared" si="156"/>
        <v>746.55810776200497</v>
      </c>
      <c r="P408" s="33">
        <f t="shared" si="157"/>
        <v>1.1736120665314799E-2</v>
      </c>
    </row>
    <row r="409" spans="2:16" ht="30" x14ac:dyDescent="0.25">
      <c r="B409" s="26">
        <v>249</v>
      </c>
      <c r="C409" s="27" t="s">
        <v>909</v>
      </c>
      <c r="D409" s="28" t="s">
        <v>910</v>
      </c>
      <c r="E409" s="28" t="s">
        <v>906</v>
      </c>
      <c r="F409" s="29">
        <v>1</v>
      </c>
      <c r="G409" s="30">
        <v>0.5</v>
      </c>
      <c r="H409" s="45">
        <f>F409 * G409 * 456.0824</f>
        <v>228.0412</v>
      </c>
      <c r="I409" s="45">
        <f>F409 * G409 * 311.5504</f>
        <v>155.77520000000001</v>
      </c>
      <c r="J409" s="45">
        <f>F409 * G409 * 0</f>
        <v>0</v>
      </c>
      <c r="K409" s="45">
        <f>F409 * G409 * 434.190445</f>
        <v>217.09522250000001</v>
      </c>
      <c r="L409" s="45">
        <f>F409 * G409 * 126.19144</f>
        <v>63.09572</v>
      </c>
      <c r="M409" s="45">
        <f>F409 * G409 * 91.21648</f>
        <v>45.608240000000002</v>
      </c>
      <c r="N409" s="46">
        <f>SUM(H409:M409)</f>
        <v>709.61558250000007</v>
      </c>
      <c r="O409" s="93">
        <f t="shared" si="156"/>
        <v>869.00588656323771</v>
      </c>
      <c r="P409" s="33">
        <f t="shared" si="157"/>
        <v>1.3661037014450697E-2</v>
      </c>
    </row>
    <row r="410" spans="2:16" ht="30" x14ac:dyDescent="0.25">
      <c r="B410" s="26">
        <v>250</v>
      </c>
      <c r="C410" s="27" t="s">
        <v>911</v>
      </c>
      <c r="D410" s="28" t="s">
        <v>912</v>
      </c>
      <c r="E410" s="28" t="s">
        <v>906</v>
      </c>
      <c r="F410" s="29">
        <v>1</v>
      </c>
      <c r="G410" s="30">
        <v>0.5</v>
      </c>
      <c r="H410" s="45">
        <f>F410 * G410 * 545.018468</f>
        <v>272.50923399999999</v>
      </c>
      <c r="I410" s="45">
        <f>F410 * G410 * 371.516247</f>
        <v>185.75812350000001</v>
      </c>
      <c r="J410" s="45">
        <f>F410 * G410 * 0</f>
        <v>0</v>
      </c>
      <c r="K410" s="45">
        <f>F410 * G410 * 518.857581</f>
        <v>259.42879049999999</v>
      </c>
      <c r="L410" s="45">
        <f>F410 * G410 * 150.716191</f>
        <v>75.358095500000005</v>
      </c>
      <c r="M410" s="45">
        <f>F410 * G410 * 109.003694</f>
        <v>54.501846999999998</v>
      </c>
      <c r="N410" s="46">
        <f>SUM(H410:M410)</f>
        <v>847.55609049999998</v>
      </c>
      <c r="O410" s="93">
        <f t="shared" si="156"/>
        <v>1037.9299017676576</v>
      </c>
      <c r="P410" s="33">
        <f t="shared" si="157"/>
        <v>1.6316573944659147E-2</v>
      </c>
    </row>
    <row r="411" spans="2:16" ht="30" x14ac:dyDescent="0.25">
      <c r="B411" s="26">
        <v>251</v>
      </c>
      <c r="C411" s="27" t="s">
        <v>913</v>
      </c>
      <c r="D411" s="28" t="s">
        <v>914</v>
      </c>
      <c r="E411" s="28" t="s">
        <v>410</v>
      </c>
      <c r="F411" s="29">
        <v>1</v>
      </c>
      <c r="G411" s="30">
        <v>4</v>
      </c>
      <c r="H411" s="45">
        <f>F411 * G411 * 169.592544</f>
        <v>678.37017600000001</v>
      </c>
      <c r="I411" s="45">
        <f>F411 * G411 * 0</f>
        <v>0</v>
      </c>
      <c r="J411" s="45">
        <f>F411 * G411 * 0</f>
        <v>0</v>
      </c>
      <c r="K411" s="45">
        <f>F411 * G411 * 161.452102</f>
        <v>645.80840799999999</v>
      </c>
      <c r="L411" s="45">
        <f>F411 * G411 * 34.759688</f>
        <v>139.03875199999999</v>
      </c>
      <c r="M411" s="45">
        <f>F411 * G411 * 33.918509</f>
        <v>135.674036</v>
      </c>
      <c r="N411" s="46">
        <f>SUM(H411:M411)</f>
        <v>1598.891372</v>
      </c>
      <c r="O411" s="93">
        <f t="shared" si="156"/>
        <v>1958.0263575217807</v>
      </c>
      <c r="P411" s="33">
        <f t="shared" si="157"/>
        <v>3.0780770255954548E-2</v>
      </c>
    </row>
    <row r="412" spans="2:16" x14ac:dyDescent="0.25">
      <c r="B412" s="35"/>
      <c r="C412" s="36" t="s">
        <v>915</v>
      </c>
      <c r="D412" s="96" t="s">
        <v>916</v>
      </c>
      <c r="E412" s="96"/>
      <c r="F412" s="96"/>
      <c r="G412" s="96"/>
      <c r="H412" s="96"/>
      <c r="I412" s="96"/>
      <c r="J412" s="96"/>
      <c r="K412" s="96"/>
      <c r="L412" s="96"/>
      <c r="M412" s="96"/>
      <c r="N412" s="96"/>
      <c r="O412" s="96"/>
      <c r="P412" s="96"/>
    </row>
    <row r="413" spans="2:16" x14ac:dyDescent="0.25">
      <c r="B413" s="35"/>
      <c r="C413" s="36" t="s">
        <v>917</v>
      </c>
      <c r="D413" s="104" t="s">
        <v>918</v>
      </c>
      <c r="E413" s="104"/>
      <c r="F413" s="10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</row>
    <row r="414" spans="2:16" x14ac:dyDescent="0.25">
      <c r="B414" s="26">
        <v>252</v>
      </c>
      <c r="C414" s="27" t="s">
        <v>919</v>
      </c>
      <c r="D414" s="28" t="s">
        <v>762</v>
      </c>
      <c r="E414" s="28" t="s">
        <v>660</v>
      </c>
      <c r="F414" s="29">
        <v>1</v>
      </c>
      <c r="G414" s="30">
        <v>0.2</v>
      </c>
      <c r="H414" s="45">
        <f>F414 * G414 * 636.234948</f>
        <v>127.24698960000001</v>
      </c>
      <c r="I414" s="45">
        <f>F414 * G414 * 38407.76496</f>
        <v>7681.5529920000008</v>
      </c>
      <c r="J414" s="45">
        <f>F414 * G414 * 0</f>
        <v>0</v>
      </c>
      <c r="K414" s="45">
        <f>F414 * G414 * 605.69567</f>
        <v>121.139134</v>
      </c>
      <c r="L414" s="45">
        <f>F414 * G414 * 4163.218036</f>
        <v>832.64360720000013</v>
      </c>
      <c r="M414" s="45">
        <f>F414 * G414 * 127.24699</f>
        <v>25.449398000000002</v>
      </c>
      <c r="N414" s="46">
        <f>SUM(H414:M414)</f>
        <v>8788.0321208000023</v>
      </c>
      <c r="O414" s="93">
        <f t="shared" ref="O414:O418" si="158">N414*1.07*1.09*1.05</f>
        <v>10761.955955613497</v>
      </c>
      <c r="P414" s="33">
        <f t="shared" ref="P414:P418" si="159">IF($P$9&gt;0,O414/$P$9/12,0)</f>
        <v>0.16918122297072088</v>
      </c>
    </row>
    <row r="415" spans="2:16" x14ac:dyDescent="0.25">
      <c r="B415" s="26">
        <v>253</v>
      </c>
      <c r="C415" s="27" t="s">
        <v>920</v>
      </c>
      <c r="D415" s="28" t="s">
        <v>921</v>
      </c>
      <c r="E415" s="28" t="s">
        <v>922</v>
      </c>
      <c r="F415" s="29">
        <v>3</v>
      </c>
      <c r="G415" s="30">
        <v>4</v>
      </c>
      <c r="H415" s="45">
        <f>F415 * G415 * 9.121648</f>
        <v>109.45977600000001</v>
      </c>
      <c r="I415" s="45">
        <f>F415 * G415 * 0</f>
        <v>0</v>
      </c>
      <c r="J415" s="45">
        <f>F415 * G415 * 0</f>
        <v>0</v>
      </c>
      <c r="K415" s="45">
        <f>F415 * G415 * 8.683809</f>
        <v>104.205708</v>
      </c>
      <c r="L415" s="45">
        <f>F415 * G415 * 1.869573</f>
        <v>22.434875999999999</v>
      </c>
      <c r="M415" s="45">
        <f>F415 * G415 * 1.82433</f>
        <v>21.891960000000001</v>
      </c>
      <c r="N415" s="46">
        <f>SUM(H415:M415)</f>
        <v>257.99232000000001</v>
      </c>
      <c r="O415" s="93">
        <f t="shared" si="158"/>
        <v>315.94126495680007</v>
      </c>
      <c r="P415" s="33">
        <f t="shared" si="159"/>
        <v>4.9666928402942847E-3</v>
      </c>
    </row>
    <row r="416" spans="2:16" ht="30" x14ac:dyDescent="0.25">
      <c r="B416" s="26">
        <v>254</v>
      </c>
      <c r="C416" s="27" t="s">
        <v>923</v>
      </c>
      <c r="D416" s="28" t="s">
        <v>924</v>
      </c>
      <c r="E416" s="28" t="s">
        <v>890</v>
      </c>
      <c r="F416" s="29">
        <v>5</v>
      </c>
      <c r="G416" s="30">
        <v>1</v>
      </c>
      <c r="H416" s="45">
        <f>F416 * G416 * 12.809797</f>
        <v>64.048985000000002</v>
      </c>
      <c r="I416" s="45">
        <f>F416 * G416 * 0</f>
        <v>0</v>
      </c>
      <c r="J416" s="45">
        <f>F416 * G416 * 0</f>
        <v>0</v>
      </c>
      <c r="K416" s="45">
        <f>F416 * G416 * 12.194927</f>
        <v>60.974634999999999</v>
      </c>
      <c r="L416" s="45">
        <f>F416 * G416 * 2.625496</f>
        <v>13.12748</v>
      </c>
      <c r="M416" s="45">
        <f>F416 * G416 * 2.561959</f>
        <v>12.809794999999999</v>
      </c>
      <c r="N416" s="46">
        <f>SUM(H416:M416)</f>
        <v>150.96089499999999</v>
      </c>
      <c r="O416" s="93">
        <f t="shared" si="158"/>
        <v>184.86897643042502</v>
      </c>
      <c r="P416" s="33">
        <f t="shared" si="159"/>
        <v>2.9061965734519433E-3</v>
      </c>
    </row>
    <row r="417" spans="2:16" x14ac:dyDescent="0.25">
      <c r="B417" s="26">
        <v>255</v>
      </c>
      <c r="C417" s="27" t="s">
        <v>925</v>
      </c>
      <c r="D417" s="28" t="s">
        <v>926</v>
      </c>
      <c r="E417" s="28" t="s">
        <v>901</v>
      </c>
      <c r="F417" s="29">
        <v>8</v>
      </c>
      <c r="G417" s="30">
        <v>1</v>
      </c>
      <c r="H417" s="45">
        <f>F417 * G417 * 51.239188</f>
        <v>409.91350399999999</v>
      </c>
      <c r="I417" s="45">
        <f>F417 * G417 * 0</f>
        <v>0</v>
      </c>
      <c r="J417" s="45">
        <f>F417 * G417 * 0</f>
        <v>0</v>
      </c>
      <c r="K417" s="45">
        <f>F417 * G417 * 48.779707</f>
        <v>390.23765600000002</v>
      </c>
      <c r="L417" s="45">
        <f>F417 * G417 * 10.501983</f>
        <v>84.015863999999993</v>
      </c>
      <c r="M417" s="45">
        <f>F417 * G417 * 10.247838</f>
        <v>81.982703999999998</v>
      </c>
      <c r="N417" s="46">
        <f>SUM(H417:M417)</f>
        <v>966.14972799999998</v>
      </c>
      <c r="O417" s="93">
        <f t="shared" si="158"/>
        <v>1183.1614491547202</v>
      </c>
      <c r="P417" s="33">
        <f t="shared" si="159"/>
        <v>1.859965807009244E-2</v>
      </c>
    </row>
    <row r="418" spans="2:16" ht="45" x14ac:dyDescent="0.25">
      <c r="B418" s="26">
        <v>256</v>
      </c>
      <c r="C418" s="27" t="s">
        <v>927</v>
      </c>
      <c r="D418" s="28" t="s">
        <v>928</v>
      </c>
      <c r="E418" s="28" t="s">
        <v>929</v>
      </c>
      <c r="F418" s="29">
        <v>104</v>
      </c>
      <c r="G418" s="30">
        <v>1</v>
      </c>
      <c r="H418" s="45">
        <f>F418 * G418 * 3.659942</f>
        <v>380.63396799999998</v>
      </c>
      <c r="I418" s="45">
        <f>F418 * G418 * 0</f>
        <v>0</v>
      </c>
      <c r="J418" s="45">
        <f>F418 * G418 * 0</f>
        <v>0</v>
      </c>
      <c r="K418" s="45">
        <f>F418 * G418 * 3.484264</f>
        <v>362.36345599999999</v>
      </c>
      <c r="L418" s="45">
        <f>F418 * G418 * 0.750142</f>
        <v>78.014768000000004</v>
      </c>
      <c r="M418" s="45">
        <f>F418 * G418 * 0.731988</f>
        <v>76.126751999999996</v>
      </c>
      <c r="N418" s="46">
        <f>SUM(H418:M418)</f>
        <v>897.13894399999992</v>
      </c>
      <c r="O418" s="93">
        <f t="shared" si="158"/>
        <v>1098.64980790656</v>
      </c>
      <c r="P418" s="33">
        <f t="shared" si="159"/>
        <v>1.7271109348968122E-2</v>
      </c>
    </row>
    <row r="419" spans="2:16" x14ac:dyDescent="0.25">
      <c r="B419" s="35"/>
      <c r="C419" s="36" t="s">
        <v>930</v>
      </c>
      <c r="D419" s="104" t="s">
        <v>931</v>
      </c>
      <c r="E419" s="104"/>
      <c r="F419" s="10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</row>
    <row r="420" spans="2:16" ht="45" x14ac:dyDescent="0.25">
      <c r="B420" s="26">
        <v>257</v>
      </c>
      <c r="C420" s="27" t="s">
        <v>932</v>
      </c>
      <c r="D420" s="28" t="s">
        <v>933</v>
      </c>
      <c r="E420" s="28" t="s">
        <v>934</v>
      </c>
      <c r="F420" s="29">
        <v>2</v>
      </c>
      <c r="G420" s="30">
        <v>1</v>
      </c>
      <c r="H420" s="45">
        <f>F420 * G420 * 188.76312</f>
        <v>377.52623999999997</v>
      </c>
      <c r="I420" s="45">
        <f t="shared" ref="I420:I429" si="160">F420 * G420 * 0</f>
        <v>0</v>
      </c>
      <c r="J420" s="45">
        <f t="shared" ref="J420:J429" si="161">F420 * G420 * 0</f>
        <v>0</v>
      </c>
      <c r="K420" s="45">
        <f>F420 * G420 * 179.70249</f>
        <v>359.40498000000002</v>
      </c>
      <c r="L420" s="45">
        <f>F420 * G420 * 38.688889</f>
        <v>77.377778000000006</v>
      </c>
      <c r="M420" s="45">
        <f>F420 * G420 * 37.752624</f>
        <v>75.505247999999995</v>
      </c>
      <c r="N420" s="46">
        <f t="shared" ref="N420:N429" si="162">SUM(H420:M420)</f>
        <v>889.81424599999991</v>
      </c>
      <c r="O420" s="93">
        <f t="shared" ref="O420:O429" si="163">N420*1.07*1.09*1.05</f>
        <v>1089.6798728652902</v>
      </c>
      <c r="P420" s="33">
        <f t="shared" ref="P420:P429" si="164">IF($P$9&gt;0,O420/$P$9/12,0)</f>
        <v>1.7130099240163652E-2</v>
      </c>
    </row>
    <row r="421" spans="2:16" ht="45" x14ac:dyDescent="0.25">
      <c r="B421" s="26">
        <v>258</v>
      </c>
      <c r="C421" s="27" t="s">
        <v>935</v>
      </c>
      <c r="D421" s="28" t="s">
        <v>936</v>
      </c>
      <c r="E421" s="28" t="s">
        <v>937</v>
      </c>
      <c r="F421" s="29">
        <v>1.6</v>
      </c>
      <c r="G421" s="30">
        <v>1</v>
      </c>
      <c r="H421" s="45">
        <f>F421 * G421 * 44.56907</f>
        <v>71.310512000000003</v>
      </c>
      <c r="I421" s="45">
        <f t="shared" si="160"/>
        <v>0</v>
      </c>
      <c r="J421" s="45">
        <f t="shared" si="161"/>
        <v>0</v>
      </c>
      <c r="K421" s="45">
        <f>F421 * G421 * 42.429755</f>
        <v>67.887608</v>
      </c>
      <c r="L421" s="45">
        <f>F421 * G421 * 9.134876</f>
        <v>14.615801600000001</v>
      </c>
      <c r="M421" s="45">
        <f>F421 * G421 * 8.913814</f>
        <v>14.262102400000002</v>
      </c>
      <c r="N421" s="46">
        <f t="shared" si="162"/>
        <v>168.07602400000002</v>
      </c>
      <c r="O421" s="93">
        <f t="shared" si="163"/>
        <v>205.82842013076007</v>
      </c>
      <c r="P421" s="33">
        <f t="shared" si="164"/>
        <v>3.2356854073250338E-3</v>
      </c>
    </row>
    <row r="422" spans="2:16" ht="45" x14ac:dyDescent="0.25">
      <c r="B422" s="26">
        <v>259</v>
      </c>
      <c r="C422" s="27" t="s">
        <v>938</v>
      </c>
      <c r="D422" s="28" t="s">
        <v>939</v>
      </c>
      <c r="E422" s="28" t="s">
        <v>937</v>
      </c>
      <c r="F422" s="29">
        <v>0.6</v>
      </c>
      <c r="G422" s="30">
        <v>1</v>
      </c>
      <c r="H422" s="45">
        <f>F422 * G422 * 57.67762</f>
        <v>34.606572</v>
      </c>
      <c r="I422" s="45">
        <f t="shared" si="160"/>
        <v>0</v>
      </c>
      <c r="J422" s="45">
        <f t="shared" si="161"/>
        <v>0</v>
      </c>
      <c r="K422" s="45">
        <f>F422 * G422 * 54.909094</f>
        <v>32.945456399999998</v>
      </c>
      <c r="L422" s="45">
        <f>F422 * G422 * 11.821605</f>
        <v>7.0929630000000001</v>
      </c>
      <c r="M422" s="45">
        <f>F422 * G422 * 11.535524</f>
        <v>6.9213144</v>
      </c>
      <c r="N422" s="46">
        <f t="shared" si="162"/>
        <v>81.566305799999995</v>
      </c>
      <c r="O422" s="93">
        <f t="shared" si="163"/>
        <v>99.887321577267016</v>
      </c>
      <c r="P422" s="33">
        <f t="shared" si="164"/>
        <v>1.5702590954107245E-3</v>
      </c>
    </row>
    <row r="423" spans="2:16" ht="45" x14ac:dyDescent="0.25">
      <c r="B423" s="26">
        <v>260</v>
      </c>
      <c r="C423" s="27" t="s">
        <v>940</v>
      </c>
      <c r="D423" s="28" t="s">
        <v>941</v>
      </c>
      <c r="E423" s="28" t="s">
        <v>937</v>
      </c>
      <c r="F423" s="29">
        <v>0.9</v>
      </c>
      <c r="G423" s="30">
        <v>1</v>
      </c>
      <c r="H423" s="45">
        <f>F423 * G423 * 91.75985</f>
        <v>82.583865000000003</v>
      </c>
      <c r="I423" s="45">
        <f t="shared" si="160"/>
        <v>0</v>
      </c>
      <c r="J423" s="45">
        <f t="shared" si="161"/>
        <v>0</v>
      </c>
      <c r="K423" s="45">
        <f>F423 * G423 * 87.355377</f>
        <v>78.61983930000001</v>
      </c>
      <c r="L423" s="45">
        <f>F423 * G423 * 18.807099</f>
        <v>16.926389100000002</v>
      </c>
      <c r="M423" s="45">
        <f>F423 * G423 * 18.35197</f>
        <v>16.516773000000001</v>
      </c>
      <c r="N423" s="46">
        <f t="shared" si="162"/>
        <v>194.64686640000002</v>
      </c>
      <c r="O423" s="93">
        <f t="shared" si="163"/>
        <v>238.36747229643606</v>
      </c>
      <c r="P423" s="33">
        <f t="shared" si="164"/>
        <v>3.7472092104702897E-3</v>
      </c>
    </row>
    <row r="424" spans="2:16" x14ac:dyDescent="0.25">
      <c r="B424" s="26">
        <v>261</v>
      </c>
      <c r="C424" s="27" t="s">
        <v>942</v>
      </c>
      <c r="D424" s="28" t="s">
        <v>943</v>
      </c>
      <c r="E424" s="28" t="s">
        <v>944</v>
      </c>
      <c r="F424" s="29">
        <v>114.3847</v>
      </c>
      <c r="G424" s="30">
        <v>1</v>
      </c>
      <c r="H424" s="45">
        <f>F424 * G424 * 10.48684</f>
        <v>1199.5340473480001</v>
      </c>
      <c r="I424" s="45">
        <f t="shared" si="160"/>
        <v>0</v>
      </c>
      <c r="J424" s="45">
        <f t="shared" si="161"/>
        <v>0</v>
      </c>
      <c r="K424" s="45">
        <f>F424 * G424 * 9.983472</f>
        <v>1141.9564496784001</v>
      </c>
      <c r="L424" s="45">
        <f>F424 * G424 * 2.149383</f>
        <v>245.85652964009998</v>
      </c>
      <c r="M424" s="45">
        <f>F424 * G424 * 2.097368</f>
        <v>239.90680946959998</v>
      </c>
      <c r="N424" s="46">
        <f t="shared" si="162"/>
        <v>2827.2538361360998</v>
      </c>
      <c r="O424" s="93">
        <f t="shared" si="163"/>
        <v>3462.2974565398104</v>
      </c>
      <c r="P424" s="33">
        <f t="shared" si="164"/>
        <v>5.4428369750044177E-2</v>
      </c>
    </row>
    <row r="425" spans="2:16" ht="30" x14ac:dyDescent="0.25">
      <c r="B425" s="26">
        <v>262</v>
      </c>
      <c r="C425" s="27" t="s">
        <v>945</v>
      </c>
      <c r="D425" s="28" t="s">
        <v>946</v>
      </c>
      <c r="E425" s="28" t="s">
        <v>947</v>
      </c>
      <c r="F425" s="29">
        <v>104</v>
      </c>
      <c r="G425" s="30">
        <v>1</v>
      </c>
      <c r="H425" s="45">
        <f>F425 * G425 * 55.05591</f>
        <v>5725.8146399999996</v>
      </c>
      <c r="I425" s="45">
        <f t="shared" si="160"/>
        <v>0</v>
      </c>
      <c r="J425" s="45">
        <f t="shared" si="161"/>
        <v>0</v>
      </c>
      <c r="K425" s="45">
        <f>F425 * G425 * 52.413227</f>
        <v>5450.9756079999997</v>
      </c>
      <c r="L425" s="45">
        <f>F425 * G425 * 11.28426</f>
        <v>1173.56304</v>
      </c>
      <c r="M425" s="45">
        <f>F425 * G425 * 11.011182</f>
        <v>1145.162928</v>
      </c>
      <c r="N425" s="46">
        <f t="shared" si="162"/>
        <v>13495.516215999998</v>
      </c>
      <c r="O425" s="93">
        <f t="shared" si="163"/>
        <v>16526.81159085684</v>
      </c>
      <c r="P425" s="33">
        <f t="shared" si="164"/>
        <v>0.25980650806226563</v>
      </c>
    </row>
    <row r="426" spans="2:16" ht="30" x14ac:dyDescent="0.25">
      <c r="B426" s="26">
        <v>263</v>
      </c>
      <c r="C426" s="27" t="s">
        <v>948</v>
      </c>
      <c r="D426" s="28" t="s">
        <v>949</v>
      </c>
      <c r="E426" s="28" t="s">
        <v>947</v>
      </c>
      <c r="F426" s="29">
        <v>104</v>
      </c>
      <c r="G426" s="30">
        <v>1</v>
      </c>
      <c r="H426" s="45">
        <f>F426 * G426 * 55.05591</f>
        <v>5725.8146399999996</v>
      </c>
      <c r="I426" s="45">
        <f t="shared" si="160"/>
        <v>0</v>
      </c>
      <c r="J426" s="45">
        <f t="shared" si="161"/>
        <v>0</v>
      </c>
      <c r="K426" s="45">
        <f>F426 * G426 * 52.413227</f>
        <v>5450.9756079999997</v>
      </c>
      <c r="L426" s="45">
        <f>F426 * G426 * 11.28426</f>
        <v>1173.56304</v>
      </c>
      <c r="M426" s="45">
        <f>F426 * G426 * 11.011182</f>
        <v>1145.162928</v>
      </c>
      <c r="N426" s="46">
        <f t="shared" si="162"/>
        <v>13495.516215999998</v>
      </c>
      <c r="O426" s="93">
        <f t="shared" si="163"/>
        <v>16526.81159085684</v>
      </c>
      <c r="P426" s="33">
        <f t="shared" si="164"/>
        <v>0.25980650806226563</v>
      </c>
    </row>
    <row r="427" spans="2:16" ht="30" x14ac:dyDescent="0.25">
      <c r="B427" s="26">
        <v>264</v>
      </c>
      <c r="C427" s="27" t="s">
        <v>950</v>
      </c>
      <c r="D427" s="28" t="s">
        <v>951</v>
      </c>
      <c r="E427" s="28" t="s">
        <v>952</v>
      </c>
      <c r="F427" s="29">
        <v>0.39700000000000002</v>
      </c>
      <c r="G427" s="30">
        <v>1</v>
      </c>
      <c r="H427" s="45">
        <f>F427 * G427 * 163.976805</f>
        <v>65.098791585000015</v>
      </c>
      <c r="I427" s="45">
        <f t="shared" si="160"/>
        <v>0</v>
      </c>
      <c r="J427" s="45">
        <f t="shared" si="161"/>
        <v>0</v>
      </c>
      <c r="K427" s="45">
        <f>F427 * G427 * 156.105918</f>
        <v>61.974049446000002</v>
      </c>
      <c r="L427" s="45">
        <f>F427 * G427 * 33.608686</f>
        <v>13.342648342</v>
      </c>
      <c r="M427" s="45">
        <f>F427 * G427 * 32.795361</f>
        <v>13.019758317000001</v>
      </c>
      <c r="N427" s="46">
        <f t="shared" si="162"/>
        <v>153.43524769000001</v>
      </c>
      <c r="O427" s="93">
        <f t="shared" si="163"/>
        <v>187.89910584988942</v>
      </c>
      <c r="P427" s="33">
        <f t="shared" si="164"/>
        <v>2.9538311301309413E-3</v>
      </c>
    </row>
    <row r="428" spans="2:16" ht="30" x14ac:dyDescent="0.25">
      <c r="B428" s="26">
        <v>265</v>
      </c>
      <c r="C428" s="27" t="s">
        <v>953</v>
      </c>
      <c r="D428" s="28" t="s">
        <v>954</v>
      </c>
      <c r="E428" s="28" t="s">
        <v>955</v>
      </c>
      <c r="F428" s="29">
        <v>14.9816</v>
      </c>
      <c r="G428" s="30">
        <v>1</v>
      </c>
      <c r="H428" s="45">
        <f>F428 * G428 * 34.20618</f>
        <v>512.46330628800001</v>
      </c>
      <c r="I428" s="45">
        <f t="shared" si="160"/>
        <v>0</v>
      </c>
      <c r="J428" s="45">
        <f t="shared" si="161"/>
        <v>0</v>
      </c>
      <c r="K428" s="45">
        <f>F428 * G428 * 32.564283</f>
        <v>487.86506219280005</v>
      </c>
      <c r="L428" s="45">
        <f>F428 * G428 * 7.010898</f>
        <v>105.0344694768</v>
      </c>
      <c r="M428" s="45">
        <f>F428 * G428 * 6.841236</f>
        <v>102.49266125760001</v>
      </c>
      <c r="N428" s="46">
        <f t="shared" si="162"/>
        <v>1207.8554992152001</v>
      </c>
      <c r="O428" s="93">
        <f t="shared" si="163"/>
        <v>1479.1579621714225</v>
      </c>
      <c r="P428" s="33">
        <f t="shared" si="164"/>
        <v>2.3252813339801018E-2</v>
      </c>
    </row>
    <row r="429" spans="2:16" x14ac:dyDescent="0.25">
      <c r="B429" s="26">
        <v>266</v>
      </c>
      <c r="C429" s="27" t="s">
        <v>956</v>
      </c>
      <c r="D429" s="28" t="s">
        <v>957</v>
      </c>
      <c r="E429" s="28" t="s">
        <v>958</v>
      </c>
      <c r="F429" s="29">
        <v>1</v>
      </c>
      <c r="G429" s="30">
        <v>1</v>
      </c>
      <c r="H429" s="45">
        <f>F429 * G429 * 17.537411</f>
        <v>17.537410999999999</v>
      </c>
      <c r="I429" s="45">
        <f t="shared" si="160"/>
        <v>0</v>
      </c>
      <c r="J429" s="45">
        <f t="shared" si="161"/>
        <v>0</v>
      </c>
      <c r="K429" s="45">
        <f>F429 * G429 * 16.695615</f>
        <v>16.695615</v>
      </c>
      <c r="L429" s="45">
        <f>F429 * G429 * 3.594468</f>
        <v>3.594468</v>
      </c>
      <c r="M429" s="45">
        <f>F429 * G429 * 3.507482</f>
        <v>3.507482</v>
      </c>
      <c r="N429" s="46">
        <f t="shared" si="162"/>
        <v>41.334975999999997</v>
      </c>
      <c r="O429" s="93">
        <f t="shared" si="163"/>
        <v>50.619431634240009</v>
      </c>
      <c r="P429" s="33">
        <f t="shared" si="164"/>
        <v>7.957528710658368E-4</v>
      </c>
    </row>
    <row r="430" spans="2:16" ht="13.9" customHeight="1" x14ac:dyDescent="0.25">
      <c r="B430" s="97" t="s">
        <v>371</v>
      </c>
      <c r="C430" s="97"/>
      <c r="D430" s="97"/>
      <c r="E430" s="97"/>
      <c r="F430" s="97"/>
      <c r="G430" s="97"/>
      <c r="H430" s="47">
        <f t="shared" ref="H430:P430" si="165">SUM(H394:H429)</f>
        <v>18755.662653507396</v>
      </c>
      <c r="I430" s="47">
        <f t="shared" si="165"/>
        <v>11654.227146564401</v>
      </c>
      <c r="J430" s="47">
        <f t="shared" si="165"/>
        <v>0</v>
      </c>
      <c r="K430" s="47">
        <f t="shared" si="165"/>
        <v>17855.390943129998</v>
      </c>
      <c r="L430" s="47">
        <f t="shared" si="165"/>
        <v>5067.8546524867006</v>
      </c>
      <c r="M430" s="47">
        <f t="shared" si="165"/>
        <v>3751.1324951662</v>
      </c>
      <c r="N430" s="47">
        <f t="shared" si="165"/>
        <v>57084.267890854688</v>
      </c>
      <c r="O430" s="47">
        <f t="shared" si="165"/>
        <v>69906.250723159043</v>
      </c>
      <c r="P430" s="48">
        <f t="shared" si="165"/>
        <v>1.0989475369923762</v>
      </c>
    </row>
    <row r="431" spans="2:16" x14ac:dyDescent="0.25">
      <c r="B431" s="98" t="s">
        <v>959</v>
      </c>
      <c r="C431" s="98"/>
      <c r="D431" s="98"/>
      <c r="E431" s="98"/>
      <c r="F431" s="98"/>
      <c r="G431" s="98"/>
      <c r="H431" s="98"/>
      <c r="I431" s="98"/>
      <c r="J431" s="98"/>
      <c r="K431" s="98"/>
      <c r="L431" s="98"/>
      <c r="M431" s="102"/>
      <c r="N431" s="102"/>
      <c r="O431" s="41"/>
      <c r="P431" s="42"/>
    </row>
    <row r="432" spans="2:16" x14ac:dyDescent="0.25">
      <c r="B432" s="98"/>
      <c r="C432" s="98"/>
      <c r="D432" s="98"/>
      <c r="E432" s="98"/>
      <c r="F432" s="98"/>
      <c r="G432" s="98"/>
      <c r="H432" s="98"/>
      <c r="I432" s="98"/>
      <c r="J432" s="98"/>
      <c r="K432" s="98"/>
      <c r="L432" s="98"/>
      <c r="M432" s="103"/>
      <c r="N432" s="103"/>
      <c r="O432" s="43"/>
      <c r="P432" s="44"/>
    </row>
    <row r="433" spans="2:16" ht="13.9" customHeight="1" x14ac:dyDescent="0.25">
      <c r="B433" s="23"/>
      <c r="C433" s="24" t="s">
        <v>314</v>
      </c>
      <c r="D433" s="100" t="s">
        <v>315</v>
      </c>
      <c r="E433" s="100"/>
      <c r="F433" s="100"/>
      <c r="G433" s="100"/>
      <c r="H433" s="100"/>
      <c r="I433" s="100"/>
      <c r="J433" s="100"/>
      <c r="K433" s="100"/>
      <c r="L433" s="100"/>
      <c r="M433" s="100"/>
      <c r="N433" s="100"/>
      <c r="O433" s="100"/>
      <c r="P433" s="100"/>
    </row>
    <row r="434" spans="2:16" ht="30" x14ac:dyDescent="0.25">
      <c r="B434" s="26">
        <v>267</v>
      </c>
      <c r="C434" s="27" t="s">
        <v>960</v>
      </c>
      <c r="D434" s="28" t="s">
        <v>961</v>
      </c>
      <c r="E434" s="28" t="s">
        <v>335</v>
      </c>
      <c r="F434" s="29">
        <v>5.3010000000000002</v>
      </c>
      <c r="G434" s="30">
        <v>1</v>
      </c>
      <c r="H434" s="45">
        <f>F434 * G434 * 4697.64872</f>
        <v>24902.235864720002</v>
      </c>
      <c r="I434" s="45">
        <f>F434 * G434 * 3321.266353</f>
        <v>17606.032937253</v>
      </c>
      <c r="J434" s="45">
        <f>F434 * G434 * 0</f>
        <v>0</v>
      </c>
      <c r="K434" s="45">
        <f>F434 * G434 * 4472.161581</f>
        <v>23706.928540881003</v>
      </c>
      <c r="L434" s="45">
        <f>F434 * G434 * 1311.563048</f>
        <v>6952.595717448</v>
      </c>
      <c r="M434" s="45">
        <f>F434 * G434 * 939.529744</f>
        <v>4980.4471729440002</v>
      </c>
      <c r="N434" s="46">
        <f>SUM(H434:M434)</f>
        <v>78148.24023324599</v>
      </c>
      <c r="O434" s="93">
        <f t="shared" ref="O434" si="166">N434*1.07*1.09*1.05</f>
        <v>95701.507213236546</v>
      </c>
      <c r="P434" s="33">
        <f>IF($P$9&gt;0,O434/$P$9/12,0)</f>
        <v>1.5044568196761074</v>
      </c>
    </row>
    <row r="435" spans="2:16" x14ac:dyDescent="0.25">
      <c r="B435" s="35"/>
      <c r="C435" s="36" t="s">
        <v>962</v>
      </c>
      <c r="D435" s="96" t="s">
        <v>963</v>
      </c>
      <c r="E435" s="96"/>
      <c r="F435" s="96"/>
      <c r="G435" s="96"/>
      <c r="H435" s="96"/>
      <c r="I435" s="96"/>
      <c r="J435" s="96"/>
      <c r="K435" s="96"/>
      <c r="L435" s="96"/>
      <c r="M435" s="96"/>
      <c r="N435" s="96"/>
      <c r="O435" s="96"/>
      <c r="P435" s="96"/>
    </row>
    <row r="436" spans="2:16" ht="30" x14ac:dyDescent="0.25">
      <c r="B436" s="26">
        <v>268</v>
      </c>
      <c r="C436" s="27" t="s">
        <v>964</v>
      </c>
      <c r="D436" s="28" t="s">
        <v>965</v>
      </c>
      <c r="E436" s="28" t="s">
        <v>335</v>
      </c>
      <c r="F436" s="29">
        <v>5.3010000000000002</v>
      </c>
      <c r="G436" s="30">
        <v>2</v>
      </c>
      <c r="H436" s="45">
        <f>F436 * G436 * 850.2501</f>
        <v>9014.3515602000007</v>
      </c>
      <c r="I436" s="45">
        <f>F436 * G436 * 0</f>
        <v>0</v>
      </c>
      <c r="J436" s="45">
        <f>F436 * G436 * 0</f>
        <v>0</v>
      </c>
      <c r="K436" s="45">
        <f>F436 * G436 * 809.438095</f>
        <v>8581.6626831899994</v>
      </c>
      <c r="L436" s="45">
        <f>F436 * G436 * 174.267261</f>
        <v>1847.581501122</v>
      </c>
      <c r="M436" s="45">
        <f>F436 * G436 * 170.05002</f>
        <v>1802.87031204</v>
      </c>
      <c r="N436" s="46">
        <f>SUM(H436:M436)</f>
        <v>21246.466056551999</v>
      </c>
      <c r="O436" s="93">
        <f t="shared" ref="O436:O437" si="167">N436*1.07*1.09*1.05</f>
        <v>26018.74102984443</v>
      </c>
      <c r="P436" s="33">
        <f t="shared" ref="P436:P437" si="168">IF($P$9&gt;0,O436/$P$9/12,0)</f>
        <v>0.40902252766529007</v>
      </c>
    </row>
    <row r="437" spans="2:16" ht="30" x14ac:dyDescent="0.25">
      <c r="B437" s="26">
        <v>269</v>
      </c>
      <c r="C437" s="27" t="s">
        <v>966</v>
      </c>
      <c r="D437" s="28" t="s">
        <v>967</v>
      </c>
      <c r="E437" s="28" t="s">
        <v>335</v>
      </c>
      <c r="F437" s="29">
        <v>5.3010000000000002</v>
      </c>
      <c r="G437" s="30">
        <v>2</v>
      </c>
      <c r="H437" s="45">
        <f>F437 * G437 * 850.2501</f>
        <v>9014.3515602000007</v>
      </c>
      <c r="I437" s="45">
        <f>F437 * G437 * 0</f>
        <v>0</v>
      </c>
      <c r="J437" s="45">
        <f>F437 * G437 * 0</f>
        <v>0</v>
      </c>
      <c r="K437" s="45">
        <f>F437 * G437 * 809.438095</f>
        <v>8581.6626831899994</v>
      </c>
      <c r="L437" s="45">
        <f>F437 * G437 * 174.267261</f>
        <v>1847.581501122</v>
      </c>
      <c r="M437" s="45">
        <f>F437 * G437 * 170.05002</f>
        <v>1802.87031204</v>
      </c>
      <c r="N437" s="46">
        <f>SUM(H437:M437)</f>
        <v>21246.466056551999</v>
      </c>
      <c r="O437" s="93">
        <f t="shared" si="167"/>
        <v>26018.74102984443</v>
      </c>
      <c r="P437" s="33">
        <f t="shared" si="168"/>
        <v>0.40902252766529007</v>
      </c>
    </row>
    <row r="438" spans="2:16" ht="13.9" customHeight="1" x14ac:dyDescent="0.25">
      <c r="B438" s="97" t="s">
        <v>371</v>
      </c>
      <c r="C438" s="97"/>
      <c r="D438" s="97"/>
      <c r="E438" s="97"/>
      <c r="F438" s="97"/>
      <c r="G438" s="97"/>
      <c r="H438" s="47">
        <f t="shared" ref="H438:P438" si="169">SUM(H433:H437)</f>
        <v>42930.938985119996</v>
      </c>
      <c r="I438" s="47">
        <f t="shared" si="169"/>
        <v>17606.032937253</v>
      </c>
      <c r="J438" s="47">
        <f t="shared" si="169"/>
        <v>0</v>
      </c>
      <c r="K438" s="47">
        <f t="shared" si="169"/>
        <v>40870.253907261002</v>
      </c>
      <c r="L438" s="47">
        <f t="shared" si="169"/>
        <v>10647.758719691999</v>
      </c>
      <c r="M438" s="47">
        <f t="shared" si="169"/>
        <v>8586.1877970240002</v>
      </c>
      <c r="N438" s="47">
        <f t="shared" si="169"/>
        <v>120641.17234634999</v>
      </c>
      <c r="O438" s="47">
        <f t="shared" si="169"/>
        <v>147738.98927292542</v>
      </c>
      <c r="P438" s="48">
        <f t="shared" si="169"/>
        <v>2.3225018750066875</v>
      </c>
    </row>
    <row r="439" spans="2:16" x14ac:dyDescent="0.25">
      <c r="B439" s="98" t="s">
        <v>968</v>
      </c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102"/>
      <c r="N439" s="102"/>
      <c r="O439" s="41"/>
      <c r="P439" s="42"/>
    </row>
    <row r="440" spans="2:16" x14ac:dyDescent="0.25">
      <c r="B440" s="98"/>
      <c r="C440" s="98"/>
      <c r="D440" s="98"/>
      <c r="E440" s="98"/>
      <c r="F440" s="98"/>
      <c r="G440" s="98"/>
      <c r="H440" s="98"/>
      <c r="I440" s="98"/>
      <c r="J440" s="98"/>
      <c r="K440" s="98"/>
      <c r="L440" s="98"/>
      <c r="M440" s="103"/>
      <c r="N440" s="103"/>
      <c r="O440" s="43"/>
      <c r="P440" s="44"/>
    </row>
    <row r="441" spans="2:16" ht="13.9" customHeight="1" x14ac:dyDescent="0.25">
      <c r="B441" s="23"/>
      <c r="C441" s="24" t="s">
        <v>969</v>
      </c>
      <c r="D441" s="100" t="s">
        <v>970</v>
      </c>
      <c r="E441" s="100"/>
      <c r="F441" s="100"/>
      <c r="G441" s="100"/>
      <c r="H441" s="100"/>
      <c r="I441" s="100"/>
      <c r="J441" s="100"/>
      <c r="K441" s="100"/>
      <c r="L441" s="100"/>
      <c r="M441" s="100"/>
      <c r="N441" s="100"/>
      <c r="O441" s="100"/>
      <c r="P441" s="100"/>
    </row>
    <row r="442" spans="2:16" x14ac:dyDescent="0.25">
      <c r="B442" s="35"/>
      <c r="C442" s="36" t="s">
        <v>971</v>
      </c>
      <c r="D442" s="96" t="s">
        <v>972</v>
      </c>
      <c r="E442" s="96"/>
      <c r="F442" s="96"/>
      <c r="G442" s="96"/>
      <c r="H442" s="96"/>
      <c r="I442" s="96"/>
      <c r="J442" s="96"/>
      <c r="K442" s="96"/>
      <c r="L442" s="96"/>
      <c r="M442" s="96"/>
      <c r="N442" s="96"/>
      <c r="O442" s="96"/>
      <c r="P442" s="96"/>
    </row>
    <row r="443" spans="2:16" x14ac:dyDescent="0.25">
      <c r="B443" s="35"/>
      <c r="C443" s="36" t="s">
        <v>973</v>
      </c>
      <c r="D443" s="104" t="s">
        <v>974</v>
      </c>
      <c r="E443" s="104"/>
      <c r="F443" s="10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</row>
    <row r="444" spans="2:16" x14ac:dyDescent="0.25">
      <c r="B444" s="26">
        <v>270</v>
      </c>
      <c r="C444" s="27" t="s">
        <v>975</v>
      </c>
      <c r="D444" s="28" t="s">
        <v>976</v>
      </c>
      <c r="E444" s="28" t="s">
        <v>201</v>
      </c>
      <c r="F444" s="29">
        <v>2.7250000000000001</v>
      </c>
      <c r="G444" s="30">
        <v>1</v>
      </c>
      <c r="H444" s="45">
        <f>F444 * G444 * 3246.368554</f>
        <v>8846.3543096499998</v>
      </c>
      <c r="I444" s="45">
        <f>F444 * G444 * 517.948021</f>
        <v>1411.4083572250001</v>
      </c>
      <c r="J444" s="45">
        <f>F444 * G444 * 0</f>
        <v>0</v>
      </c>
      <c r="K444" s="45">
        <f>F444 * G444 * 3090.542863</f>
        <v>8421.7293016750009</v>
      </c>
      <c r="L444" s="45">
        <f>F444 * G444 * 719.760241</f>
        <v>1961.346656725</v>
      </c>
      <c r="M444" s="45">
        <f>F444 * G444 * 649.273711</f>
        <v>1769.2708624750003</v>
      </c>
      <c r="N444" s="46">
        <f>SUM(H444:M444)</f>
        <v>22410.10948775</v>
      </c>
      <c r="O444" s="93">
        <f t="shared" ref="O444" si="170">N444*1.07*1.09*1.05</f>
        <v>27443.756230340969</v>
      </c>
      <c r="P444" s="33">
        <f>IF($P$9&gt;0,O444/$P$9/12,0)</f>
        <v>0.43142420031347811</v>
      </c>
    </row>
    <row r="445" spans="2:16" x14ac:dyDescent="0.25">
      <c r="B445" s="35"/>
      <c r="C445" s="36" t="s">
        <v>977</v>
      </c>
      <c r="D445" s="96" t="s">
        <v>978</v>
      </c>
      <c r="E445" s="96"/>
      <c r="F445" s="96"/>
      <c r="G445" s="96"/>
      <c r="H445" s="96"/>
      <c r="I445" s="96"/>
      <c r="J445" s="96"/>
      <c r="K445" s="96"/>
      <c r="L445" s="96"/>
      <c r="M445" s="96"/>
      <c r="N445" s="96"/>
      <c r="O445" s="96"/>
      <c r="P445" s="96"/>
    </row>
    <row r="446" spans="2:16" x14ac:dyDescent="0.25">
      <c r="B446" s="35"/>
      <c r="C446" s="36" t="s">
        <v>979</v>
      </c>
      <c r="D446" s="104" t="s">
        <v>980</v>
      </c>
      <c r="E446" s="104"/>
      <c r="F446" s="10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</row>
    <row r="447" spans="2:16" ht="30" x14ac:dyDescent="0.25">
      <c r="B447" s="26">
        <v>271</v>
      </c>
      <c r="C447" s="27" t="s">
        <v>981</v>
      </c>
      <c r="D447" s="28" t="s">
        <v>982</v>
      </c>
      <c r="E447" s="28" t="s">
        <v>983</v>
      </c>
      <c r="F447" s="29">
        <v>1.29E-2</v>
      </c>
      <c r="G447" s="30">
        <v>1</v>
      </c>
      <c r="H447" s="45">
        <f>F447 * G447 * 123108.11686</f>
        <v>1588.094707494</v>
      </c>
      <c r="I447" s="45">
        <f>F447 * G447 * 64495.72134</f>
        <v>831.99480528599997</v>
      </c>
      <c r="J447" s="45">
        <f>F447 * G447 * 717.56692</f>
        <v>9.2566132680000006</v>
      </c>
      <c r="K447" s="45">
        <f>F447 * G447 * 117798.394095</f>
        <v>1519.5992838254999</v>
      </c>
      <c r="L447" s="45">
        <f>F447 * G447 * 32142.578917</f>
        <v>414.63926802930001</v>
      </c>
      <c r="M447" s="45">
        <f>F447 * G447 * 24747.561785</f>
        <v>319.24354702650004</v>
      </c>
      <c r="N447" s="46">
        <f>SUM(H447:M447)</f>
        <v>4682.8282249292997</v>
      </c>
      <c r="O447" s="93">
        <f t="shared" ref="O447" si="171">N447*1.07*1.09*1.05</f>
        <v>5734.661686671795</v>
      </c>
      <c r="P447" s="33">
        <f>IF($P$9&gt;0,O447/$P$9/12,0)</f>
        <v>9.0150627030619934E-2</v>
      </c>
    </row>
    <row r="448" spans="2:16" ht="13.9" customHeight="1" x14ac:dyDescent="0.25">
      <c r="B448" s="23"/>
      <c r="C448" s="24" t="s">
        <v>314</v>
      </c>
      <c r="D448" s="100" t="s">
        <v>315</v>
      </c>
      <c r="E448" s="100"/>
      <c r="F448" s="100"/>
      <c r="G448" s="100"/>
      <c r="H448" s="100"/>
      <c r="I448" s="100"/>
      <c r="J448" s="100"/>
      <c r="K448" s="100"/>
      <c r="L448" s="100"/>
      <c r="M448" s="100"/>
      <c r="N448" s="100"/>
      <c r="O448" s="100"/>
      <c r="P448" s="100"/>
    </row>
    <row r="449" spans="2:16" x14ac:dyDescent="0.25">
      <c r="B449" s="35"/>
      <c r="C449" s="36" t="s">
        <v>962</v>
      </c>
      <c r="D449" s="96" t="s">
        <v>963</v>
      </c>
      <c r="E449" s="96"/>
      <c r="F449" s="96"/>
      <c r="G449" s="96"/>
      <c r="H449" s="96"/>
      <c r="I449" s="96"/>
      <c r="J449" s="96"/>
      <c r="K449" s="96"/>
      <c r="L449" s="96"/>
      <c r="M449" s="96"/>
      <c r="N449" s="96"/>
      <c r="O449" s="96"/>
      <c r="P449" s="96"/>
    </row>
    <row r="450" spans="2:16" ht="30" x14ac:dyDescent="0.25">
      <c r="B450" s="26">
        <v>272</v>
      </c>
      <c r="C450" s="27" t="s">
        <v>964</v>
      </c>
      <c r="D450" s="28" t="s">
        <v>965</v>
      </c>
      <c r="E450" s="28" t="s">
        <v>335</v>
      </c>
      <c r="F450" s="29">
        <v>5.3010000000000002</v>
      </c>
      <c r="G450" s="30">
        <v>2</v>
      </c>
      <c r="H450" s="45">
        <f>F450 * G450 * 850.2501</f>
        <v>9014.3515602000007</v>
      </c>
      <c r="I450" s="45">
        <f>F450 * G450 * 0</f>
        <v>0</v>
      </c>
      <c r="J450" s="45">
        <f>F450 * G450 * 0</f>
        <v>0</v>
      </c>
      <c r="K450" s="45">
        <f>F450 * G450 * 809.438095</f>
        <v>8581.6626831899994</v>
      </c>
      <c r="L450" s="45">
        <f>F450 * G450 * 174.267261</f>
        <v>1847.581501122</v>
      </c>
      <c r="M450" s="45">
        <f>F450 * G450 * 170.05002</f>
        <v>1802.87031204</v>
      </c>
      <c r="N450" s="46">
        <f>SUM(H450:M450)</f>
        <v>21246.466056551999</v>
      </c>
      <c r="O450" s="93">
        <f t="shared" ref="O450:O451" si="172">N450*1.07*1.09*1.05</f>
        <v>26018.74102984443</v>
      </c>
      <c r="P450" s="33">
        <f t="shared" ref="P450:P451" si="173">IF($P$9&gt;0,O450/$P$9/12,0)</f>
        <v>0.40902252766529007</v>
      </c>
    </row>
    <row r="451" spans="2:16" ht="30" x14ac:dyDescent="0.25">
      <c r="B451" s="26">
        <v>273</v>
      </c>
      <c r="C451" s="27" t="s">
        <v>966</v>
      </c>
      <c r="D451" s="28" t="s">
        <v>967</v>
      </c>
      <c r="E451" s="28" t="s">
        <v>335</v>
      </c>
      <c r="F451" s="29">
        <v>5.3010000000000002</v>
      </c>
      <c r="G451" s="30">
        <v>4</v>
      </c>
      <c r="H451" s="45">
        <f>F451 * G451 * 850.2501</f>
        <v>18028.703120400001</v>
      </c>
      <c r="I451" s="45">
        <f>F451 * G451 * 0</f>
        <v>0</v>
      </c>
      <c r="J451" s="45">
        <f>F451 * G451 * 0</f>
        <v>0</v>
      </c>
      <c r="K451" s="45">
        <f>F451 * G451 * 809.438095</f>
        <v>17163.325366379999</v>
      </c>
      <c r="L451" s="45">
        <f>F451 * G451 * 174.267261</f>
        <v>3695.1630022439999</v>
      </c>
      <c r="M451" s="45">
        <f>F451 * G451 * 170.05002</f>
        <v>3605.7406240800001</v>
      </c>
      <c r="N451" s="46">
        <f>SUM(H451:M451)</f>
        <v>42492.932113103998</v>
      </c>
      <c r="O451" s="93">
        <f t="shared" si="172"/>
        <v>52037.48205968886</v>
      </c>
      <c r="P451" s="33">
        <f t="shared" si="173"/>
        <v>0.81804505533058014</v>
      </c>
    </row>
    <row r="452" spans="2:16" ht="13.9" customHeight="1" x14ac:dyDescent="0.25">
      <c r="B452" s="97" t="s">
        <v>371</v>
      </c>
      <c r="C452" s="97"/>
      <c r="D452" s="97"/>
      <c r="E452" s="97"/>
      <c r="F452" s="97"/>
      <c r="G452" s="97"/>
      <c r="H452" s="47">
        <f t="shared" ref="H452:P452" si="174">SUM(H441:H451)</f>
        <v>37477.503697744003</v>
      </c>
      <c r="I452" s="47">
        <f t="shared" si="174"/>
        <v>2243.4031625110001</v>
      </c>
      <c r="J452" s="47">
        <f t="shared" si="174"/>
        <v>9.2566132680000006</v>
      </c>
      <c r="K452" s="47">
        <f t="shared" si="174"/>
        <v>35686.3166350705</v>
      </c>
      <c r="L452" s="47">
        <f t="shared" si="174"/>
        <v>7918.7304281202996</v>
      </c>
      <c r="M452" s="47">
        <f t="shared" si="174"/>
        <v>7497.1253456214999</v>
      </c>
      <c r="N452" s="47">
        <f t="shared" si="174"/>
        <v>90832.33588233529</v>
      </c>
      <c r="O452" s="47">
        <f t="shared" si="174"/>
        <v>111234.64100654605</v>
      </c>
      <c r="P452" s="48">
        <f t="shared" si="174"/>
        <v>1.7486424103399685</v>
      </c>
    </row>
    <row r="453" spans="2:16" x14ac:dyDescent="0.25">
      <c r="B453" s="98" t="s">
        <v>984</v>
      </c>
      <c r="C453" s="98"/>
      <c r="D453" s="98"/>
      <c r="E453" s="98"/>
      <c r="F453" s="98"/>
      <c r="G453" s="98"/>
      <c r="H453" s="98"/>
      <c r="I453" s="98"/>
      <c r="J453" s="98"/>
      <c r="K453" s="98"/>
      <c r="L453" s="98"/>
      <c r="M453" s="102"/>
      <c r="N453" s="102"/>
      <c r="O453" s="41"/>
      <c r="P453" s="42"/>
    </row>
    <row r="454" spans="2:16" x14ac:dyDescent="0.25">
      <c r="B454" s="98"/>
      <c r="C454" s="98"/>
      <c r="D454" s="98"/>
      <c r="E454" s="98"/>
      <c r="F454" s="98"/>
      <c r="G454" s="98"/>
      <c r="H454" s="98"/>
      <c r="I454" s="98"/>
      <c r="J454" s="98"/>
      <c r="K454" s="98"/>
      <c r="L454" s="98"/>
      <c r="M454" s="103"/>
      <c r="N454" s="103"/>
      <c r="O454" s="43"/>
      <c r="P454" s="44"/>
    </row>
    <row r="455" spans="2:16" ht="13.9" customHeight="1" x14ac:dyDescent="0.25">
      <c r="B455" s="23"/>
      <c r="C455" s="24" t="s">
        <v>985</v>
      </c>
      <c r="D455" s="100" t="s">
        <v>986</v>
      </c>
      <c r="E455" s="100"/>
      <c r="F455" s="100"/>
      <c r="G455" s="100"/>
      <c r="H455" s="100"/>
      <c r="I455" s="100"/>
      <c r="J455" s="100"/>
      <c r="K455" s="100"/>
      <c r="L455" s="100"/>
      <c r="M455" s="100"/>
      <c r="N455" s="100"/>
      <c r="O455" s="100"/>
      <c r="P455" s="100"/>
    </row>
    <row r="456" spans="2:16" x14ac:dyDescent="0.25">
      <c r="B456" s="35"/>
      <c r="C456" s="36" t="s">
        <v>987</v>
      </c>
      <c r="D456" s="96" t="s">
        <v>988</v>
      </c>
      <c r="E456" s="96"/>
      <c r="F456" s="96"/>
      <c r="G456" s="96"/>
      <c r="H456" s="96"/>
      <c r="I456" s="96"/>
      <c r="J456" s="96"/>
      <c r="K456" s="96"/>
      <c r="L456" s="96"/>
      <c r="M456" s="96"/>
      <c r="N456" s="96"/>
      <c r="O456" s="96"/>
      <c r="P456" s="96"/>
    </row>
    <row r="457" spans="2:16" x14ac:dyDescent="0.25">
      <c r="B457" s="35"/>
      <c r="C457" s="36" t="s">
        <v>989</v>
      </c>
      <c r="D457" s="104" t="s">
        <v>990</v>
      </c>
      <c r="E457" s="104"/>
      <c r="F457" s="10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</row>
    <row r="458" spans="2:16" ht="30" x14ac:dyDescent="0.25">
      <c r="B458" s="26">
        <v>274</v>
      </c>
      <c r="C458" s="27" t="s">
        <v>991</v>
      </c>
      <c r="D458" s="28" t="s">
        <v>992</v>
      </c>
      <c r="E458" s="28" t="s">
        <v>993</v>
      </c>
      <c r="F458" s="29">
        <v>2</v>
      </c>
      <c r="G458" s="30">
        <v>5</v>
      </c>
      <c r="H458" s="45">
        <f>F458 * G458 * 492.88148</f>
        <v>4928.8148000000001</v>
      </c>
      <c r="I458" s="45">
        <f>F458 * G458 * 0</f>
        <v>0</v>
      </c>
      <c r="J458" s="45">
        <f>F458 * G458 * 0</f>
        <v>0</v>
      </c>
      <c r="K458" s="45">
        <f>F458 * G458 * 469.223169</f>
        <v>4692.2316899999996</v>
      </c>
      <c r="L458" s="45">
        <f>F458 * G458 * 101.020988</f>
        <v>1010.20988</v>
      </c>
      <c r="M458" s="45">
        <f>F458 * G458 * 98.576296</f>
        <v>985.76296000000002</v>
      </c>
      <c r="N458" s="46">
        <f>SUM(H458:M458)</f>
        <v>11617.019330000001</v>
      </c>
      <c r="O458" s="93">
        <f t="shared" ref="O458:O459" si="175">N458*1.07*1.09*1.05</f>
        <v>14226.376126807952</v>
      </c>
      <c r="P458" s="33">
        <f t="shared" ref="P458:P459" si="176">IF($P$9&gt;0,O458/$P$9/12,0)</f>
        <v>0.22364296244117388</v>
      </c>
    </row>
    <row r="459" spans="2:16" x14ac:dyDescent="0.25">
      <c r="B459" s="26">
        <v>275</v>
      </c>
      <c r="C459" s="27" t="s">
        <v>994</v>
      </c>
      <c r="D459" s="28" t="s">
        <v>995</v>
      </c>
      <c r="E459" s="28" t="s">
        <v>996</v>
      </c>
      <c r="F459" s="29">
        <v>5.3010000000000002</v>
      </c>
      <c r="G459" s="30">
        <v>6</v>
      </c>
      <c r="H459" s="45">
        <f>F459 * G459 * 101.22025</f>
        <v>3219.4112714999997</v>
      </c>
      <c r="I459" s="45">
        <f>F459 * G459 * 0</f>
        <v>0</v>
      </c>
      <c r="J459" s="45">
        <f>F459 * G459 * 0</f>
        <v>0</v>
      </c>
      <c r="K459" s="45">
        <f>F459 * G459 * 96.361677</f>
        <v>3064.8794986620001</v>
      </c>
      <c r="L459" s="45">
        <f>F459 * G459 * 20.746103</f>
        <v>659.85055201800003</v>
      </c>
      <c r="M459" s="45">
        <f>F459 * G459 * 20.24405</f>
        <v>643.88225430000011</v>
      </c>
      <c r="N459" s="46">
        <f>SUM(H459:M459)</f>
        <v>7588.02357648</v>
      </c>
      <c r="O459" s="93">
        <f t="shared" si="175"/>
        <v>9292.4074921110569</v>
      </c>
      <c r="P459" s="33">
        <f t="shared" si="176"/>
        <v>0.14607947387460002</v>
      </c>
    </row>
    <row r="460" spans="2:16" x14ac:dyDescent="0.25">
      <c r="B460" s="35"/>
      <c r="C460" s="36" t="s">
        <v>997</v>
      </c>
      <c r="D460" s="96" t="s">
        <v>998</v>
      </c>
      <c r="E460" s="96"/>
      <c r="F460" s="96"/>
      <c r="G460" s="96"/>
      <c r="H460" s="96"/>
      <c r="I460" s="96"/>
      <c r="J460" s="96"/>
      <c r="K460" s="96"/>
      <c r="L460" s="96"/>
      <c r="M460" s="96"/>
      <c r="N460" s="96"/>
      <c r="O460" s="96"/>
      <c r="P460" s="96"/>
    </row>
    <row r="461" spans="2:16" x14ac:dyDescent="0.25">
      <c r="B461" s="26">
        <v>276</v>
      </c>
      <c r="C461" s="27" t="s">
        <v>999</v>
      </c>
      <c r="D461" s="28" t="s">
        <v>1000</v>
      </c>
      <c r="E461" s="28" t="s">
        <v>993</v>
      </c>
      <c r="F461" s="29">
        <v>2</v>
      </c>
      <c r="G461" s="30">
        <v>6</v>
      </c>
      <c r="H461" s="45">
        <f>F461 * G461 * 334.026825</f>
        <v>4008.3218999999999</v>
      </c>
      <c r="I461" s="45">
        <f>F461 * G461 * 87.928396</f>
        <v>1055.140752</v>
      </c>
      <c r="J461" s="45">
        <f>F461 * G461 * 0</f>
        <v>0</v>
      </c>
      <c r="K461" s="45">
        <f>F461 * G461 * 317.993537</f>
        <v>3815.9224439999998</v>
      </c>
      <c r="L461" s="45">
        <f>F461 * G461 * 77.69462</f>
        <v>932.33544000000006</v>
      </c>
      <c r="M461" s="45">
        <f>F461 * G461 * 66.805365</f>
        <v>801.66437999999994</v>
      </c>
      <c r="N461" s="46">
        <f>SUM(H461:M461)</f>
        <v>10613.384916000001</v>
      </c>
      <c r="O461" s="93">
        <f t="shared" ref="O461" si="177">N461*1.07*1.09*1.05</f>
        <v>12997.310368907345</v>
      </c>
      <c r="P461" s="33">
        <f>IF($P$9&gt;0,O461/$P$9/12,0)</f>
        <v>0.20432167466684503</v>
      </c>
    </row>
    <row r="462" spans="2:16" ht="13.9" customHeight="1" x14ac:dyDescent="0.25">
      <c r="B462" s="97" t="s">
        <v>371</v>
      </c>
      <c r="C462" s="97"/>
      <c r="D462" s="97"/>
      <c r="E462" s="97"/>
      <c r="F462" s="97"/>
      <c r="G462" s="97"/>
      <c r="H462" s="47">
        <f t="shared" ref="H462:P462" si="178">SUM(H455:H461)</f>
        <v>12156.5479715</v>
      </c>
      <c r="I462" s="47">
        <f t="shared" si="178"/>
        <v>1055.140752</v>
      </c>
      <c r="J462" s="47">
        <f t="shared" si="178"/>
        <v>0</v>
      </c>
      <c r="K462" s="47">
        <f t="shared" si="178"/>
        <v>11573.033632662</v>
      </c>
      <c r="L462" s="47">
        <f t="shared" si="178"/>
        <v>2602.3958720179999</v>
      </c>
      <c r="M462" s="47">
        <f t="shared" si="178"/>
        <v>2431.3095942999998</v>
      </c>
      <c r="N462" s="47">
        <f t="shared" si="178"/>
        <v>29818.42782248</v>
      </c>
      <c r="O462" s="47">
        <f t="shared" si="178"/>
        <v>36516.093987826353</v>
      </c>
      <c r="P462" s="48">
        <f t="shared" si="178"/>
        <v>0.57404411098261887</v>
      </c>
    </row>
    <row r="463" spans="2:16" x14ac:dyDescent="0.25">
      <c r="B463" s="98" t="s">
        <v>1001</v>
      </c>
      <c r="C463" s="98"/>
      <c r="D463" s="98"/>
      <c r="E463" s="98"/>
      <c r="F463" s="98"/>
      <c r="G463" s="98"/>
      <c r="H463" s="98"/>
      <c r="I463" s="98"/>
      <c r="J463" s="98"/>
      <c r="K463" s="98"/>
      <c r="L463" s="98"/>
      <c r="M463" s="102"/>
      <c r="N463" s="102"/>
      <c r="O463" s="41"/>
      <c r="P463" s="42"/>
    </row>
    <row r="464" spans="2:16" x14ac:dyDescent="0.25">
      <c r="B464" s="98"/>
      <c r="C464" s="98"/>
      <c r="D464" s="98"/>
      <c r="E464" s="98"/>
      <c r="F464" s="98"/>
      <c r="G464" s="98"/>
      <c r="H464" s="98"/>
      <c r="I464" s="98"/>
      <c r="J464" s="98"/>
      <c r="K464" s="98"/>
      <c r="L464" s="98"/>
      <c r="M464" s="103"/>
      <c r="N464" s="103"/>
      <c r="O464" s="43"/>
      <c r="P464" s="44"/>
    </row>
    <row r="465" spans="2:16" ht="13.9" customHeight="1" x14ac:dyDescent="0.25">
      <c r="B465" s="23"/>
      <c r="C465" s="24" t="s">
        <v>1002</v>
      </c>
      <c r="D465" s="100" t="s">
        <v>1003</v>
      </c>
      <c r="E465" s="100"/>
      <c r="F465" s="100"/>
      <c r="G465" s="100"/>
      <c r="H465" s="100"/>
      <c r="I465" s="100"/>
      <c r="J465" s="100"/>
      <c r="K465" s="100"/>
      <c r="L465" s="100"/>
      <c r="M465" s="100"/>
      <c r="N465" s="100"/>
      <c r="O465" s="100"/>
      <c r="P465" s="100"/>
    </row>
    <row r="466" spans="2:16" x14ac:dyDescent="0.25">
      <c r="B466" s="35"/>
      <c r="C466" s="36" t="s">
        <v>1004</v>
      </c>
      <c r="D466" s="96" t="s">
        <v>1005</v>
      </c>
      <c r="E466" s="96"/>
      <c r="F466" s="96"/>
      <c r="G466" s="96"/>
      <c r="H466" s="96"/>
      <c r="I466" s="96"/>
      <c r="J466" s="96"/>
      <c r="K466" s="96"/>
      <c r="L466" s="96"/>
      <c r="M466" s="96"/>
      <c r="N466" s="96"/>
      <c r="O466" s="96"/>
      <c r="P466" s="96"/>
    </row>
    <row r="467" spans="2:16" x14ac:dyDescent="0.25">
      <c r="B467" s="35"/>
      <c r="C467" s="36" t="s">
        <v>1006</v>
      </c>
      <c r="D467" s="101" t="s">
        <v>1007</v>
      </c>
      <c r="E467" s="101"/>
      <c r="F467" s="101"/>
      <c r="G467" s="101"/>
      <c r="H467" s="101"/>
      <c r="I467" s="101"/>
      <c r="J467" s="101"/>
      <c r="K467" s="101"/>
      <c r="L467" s="101"/>
      <c r="M467" s="101"/>
      <c r="N467" s="101"/>
      <c r="O467" s="101"/>
      <c r="P467" s="101"/>
    </row>
    <row r="468" spans="2:16" x14ac:dyDescent="0.25">
      <c r="B468" s="35"/>
      <c r="C468" s="36" t="s">
        <v>1008</v>
      </c>
      <c r="D468" s="101" t="s">
        <v>1009</v>
      </c>
      <c r="E468" s="101"/>
      <c r="F468" s="101"/>
      <c r="G468" s="101"/>
      <c r="H468" s="101"/>
      <c r="I468" s="101"/>
      <c r="J468" s="101"/>
      <c r="K468" s="101"/>
      <c r="L468" s="101"/>
      <c r="M468" s="101"/>
      <c r="N468" s="101"/>
      <c r="O468" s="101"/>
      <c r="P468" s="101"/>
    </row>
    <row r="469" spans="2:16" ht="45" x14ac:dyDescent="0.25">
      <c r="B469" s="26">
        <v>277</v>
      </c>
      <c r="C469" s="27" t="s">
        <v>1010</v>
      </c>
      <c r="D469" s="28" t="s">
        <v>1011</v>
      </c>
      <c r="E469" s="28" t="s">
        <v>1012</v>
      </c>
      <c r="F469" s="29">
        <v>1.98</v>
      </c>
      <c r="G469" s="30">
        <v>144</v>
      </c>
      <c r="H469" s="45">
        <f>F469 * G469 * 216.485569</f>
        <v>61724.36543328</v>
      </c>
      <c r="I469" s="45">
        <f>F469 * G469 * 0</f>
        <v>0</v>
      </c>
      <c r="J469" s="45">
        <f>F469 * G469 * 0</f>
        <v>0</v>
      </c>
      <c r="K469" s="45">
        <f>F469 * G469 * 206.094262</f>
        <v>58761.595981439998</v>
      </c>
      <c r="L469" s="45">
        <f>F469 * G469 * 44.370882</f>
        <v>12651.025875840001</v>
      </c>
      <c r="M469" s="45">
        <f>F469 * G469 * 43.297114</f>
        <v>12344.873143680001</v>
      </c>
      <c r="N469" s="46">
        <f>SUM(H469:M469)</f>
        <v>145481.86043423996</v>
      </c>
      <c r="O469" s="93">
        <f t="shared" ref="O469:O470" si="179">N469*1.07*1.09*1.05</f>
        <v>178159.26851567681</v>
      </c>
      <c r="P469" s="33">
        <f t="shared" ref="P469:P470" si="180">IF($P$9&gt;0,O469/$P$9/12,0)</f>
        <v>2.8007179229654278</v>
      </c>
    </row>
    <row r="470" spans="2:16" ht="45" x14ac:dyDescent="0.25">
      <c r="B470" s="26">
        <v>278</v>
      </c>
      <c r="C470" s="27" t="s">
        <v>1013</v>
      </c>
      <c r="D470" s="28" t="s">
        <v>1014</v>
      </c>
      <c r="E470" s="28" t="s">
        <v>1015</v>
      </c>
      <c r="F470" s="29">
        <v>7.93</v>
      </c>
      <c r="G470" s="30">
        <v>144</v>
      </c>
      <c r="H470" s="45">
        <f>F470 * G470 * 189.036004</f>
        <v>215863.99368767999</v>
      </c>
      <c r="I470" s="45">
        <f>F470 * G470 * 0</f>
        <v>0</v>
      </c>
      <c r="J470" s="45">
        <f>F470 * G470 * 0</f>
        <v>0</v>
      </c>
      <c r="K470" s="45">
        <f>F470 * G470 * 179.962276</f>
        <v>205502.52220992002</v>
      </c>
      <c r="L470" s="45">
        <f>F470 * G470 * 38.744819</f>
        <v>44243.483712480003</v>
      </c>
      <c r="M470" s="45">
        <f>F470 * G470 * 37.807201</f>
        <v>43172.798965920003</v>
      </c>
      <c r="N470" s="46">
        <f>SUM(H470:M470)</f>
        <v>508782.79857599997</v>
      </c>
      <c r="O470" s="93">
        <f t="shared" si="179"/>
        <v>623063.04687814822</v>
      </c>
      <c r="P470" s="33">
        <f t="shared" si="180"/>
        <v>9.7947407231048889</v>
      </c>
    </row>
    <row r="471" spans="2:16" x14ac:dyDescent="0.25">
      <c r="B471" s="35"/>
      <c r="C471" s="36" t="s">
        <v>1016</v>
      </c>
      <c r="D471" s="101" t="s">
        <v>1017</v>
      </c>
      <c r="E471" s="101"/>
      <c r="F471" s="101"/>
      <c r="G471" s="101"/>
      <c r="H471" s="101"/>
      <c r="I471" s="101"/>
      <c r="J471" s="101"/>
      <c r="K471" s="101"/>
      <c r="L471" s="101"/>
      <c r="M471" s="101"/>
      <c r="N471" s="101"/>
      <c r="O471" s="101"/>
      <c r="P471" s="101"/>
    </row>
    <row r="472" spans="2:16" ht="30" x14ac:dyDescent="0.25">
      <c r="B472" s="26">
        <v>279</v>
      </c>
      <c r="C472" s="27" t="s">
        <v>1018</v>
      </c>
      <c r="D472" s="28" t="s">
        <v>1019</v>
      </c>
      <c r="E472" s="28" t="s">
        <v>1012</v>
      </c>
      <c r="F472" s="29">
        <v>1.98</v>
      </c>
      <c r="G472" s="30">
        <v>24</v>
      </c>
      <c r="H472" s="45">
        <f>F472 * G472 * 277.606601</f>
        <v>13191.865679519999</v>
      </c>
      <c r="I472" s="45">
        <f>F472 * G472 * 76.925322</f>
        <v>3655.4913014399995</v>
      </c>
      <c r="J472" s="45">
        <f>F472 * G472 * 0</f>
        <v>0</v>
      </c>
      <c r="K472" s="45">
        <f>F472 * G472 * 264.281485</f>
        <v>12558.656167199997</v>
      </c>
      <c r="L472" s="45">
        <f>F472 * G472 * 64.975408</f>
        <v>3087.6313881599999</v>
      </c>
      <c r="M472" s="45">
        <f>F472 * G472 * 55.52132</f>
        <v>2638.3731263999998</v>
      </c>
      <c r="N472" s="46">
        <f>SUM(H472:M472)</f>
        <v>35132.017662719998</v>
      </c>
      <c r="O472" s="93">
        <f t="shared" ref="O472:O473" si="181">N472*1.07*1.09*1.05</f>
        <v>43023.195810031859</v>
      </c>
      <c r="P472" s="33">
        <f t="shared" ref="P472:P473" si="182">IF($P$9&gt;0,O472/$P$9/12,0)</f>
        <v>0.67633773203219294</v>
      </c>
    </row>
    <row r="473" spans="2:16" ht="45" x14ac:dyDescent="0.25">
      <c r="B473" s="26">
        <v>280</v>
      </c>
      <c r="C473" s="27" t="s">
        <v>1020</v>
      </c>
      <c r="D473" s="28" t="s">
        <v>1021</v>
      </c>
      <c r="E473" s="28" t="s">
        <v>1012</v>
      </c>
      <c r="F473" s="29">
        <v>7.93</v>
      </c>
      <c r="G473" s="30">
        <v>24</v>
      </c>
      <c r="H473" s="45">
        <f>F473 * G473 * 237.89623</f>
        <v>45276.4104936</v>
      </c>
      <c r="I473" s="45">
        <f>F473 * G473 * 76.925322</f>
        <v>14640.427283039999</v>
      </c>
      <c r="J473" s="45">
        <f>F473 * G473 * 0</f>
        <v>0</v>
      </c>
      <c r="K473" s="45">
        <f>F473 * G473 * 226.477211</f>
        <v>43103.142797519999</v>
      </c>
      <c r="L473" s="45">
        <f>F473 * G473 * 56.83637</f>
        <v>10817.0979384</v>
      </c>
      <c r="M473" s="45">
        <f>F473 * G473 * 47.579246</f>
        <v>9055.2820987199993</v>
      </c>
      <c r="N473" s="46">
        <f>SUM(H473:M473)</f>
        <v>122892.36061127999</v>
      </c>
      <c r="O473" s="93">
        <f t="shared" si="181"/>
        <v>150495.82818998265</v>
      </c>
      <c r="P473" s="33">
        <f t="shared" si="182"/>
        <v>2.3658402218132215</v>
      </c>
    </row>
    <row r="474" spans="2:16" x14ac:dyDescent="0.25">
      <c r="B474" s="35"/>
      <c r="C474" s="36" t="s">
        <v>1022</v>
      </c>
      <c r="D474" s="96" t="s">
        <v>1023</v>
      </c>
      <c r="E474" s="96"/>
      <c r="F474" s="96"/>
      <c r="G474" s="96"/>
      <c r="H474" s="96"/>
      <c r="I474" s="96"/>
      <c r="J474" s="96"/>
      <c r="K474" s="96"/>
      <c r="L474" s="96"/>
      <c r="M474" s="96"/>
      <c r="N474" s="96"/>
      <c r="O474" s="96"/>
      <c r="P474" s="96"/>
    </row>
    <row r="475" spans="2:16" ht="30" x14ac:dyDescent="0.25">
      <c r="B475" s="26">
        <v>281</v>
      </c>
      <c r="C475" s="27" t="s">
        <v>1024</v>
      </c>
      <c r="D475" s="28" t="s">
        <v>1025</v>
      </c>
      <c r="E475" s="28" t="s">
        <v>36</v>
      </c>
      <c r="F475" s="29">
        <v>0.64</v>
      </c>
      <c r="G475" s="30">
        <v>1</v>
      </c>
      <c r="H475" s="45">
        <f>F475 * G475 * 164.69739</f>
        <v>105.40632960000001</v>
      </c>
      <c r="I475" s="45">
        <f>F475 * G475 * 9.87897</f>
        <v>6.3225408000000005</v>
      </c>
      <c r="J475" s="45">
        <f>F475 * G475 * 0</f>
        <v>0</v>
      </c>
      <c r="K475" s="45">
        <f>F475 * G475 * 156.791916</f>
        <v>100.34682624</v>
      </c>
      <c r="L475" s="45">
        <f>F475 * G475 * 34.793669</f>
        <v>22.26794816</v>
      </c>
      <c r="M475" s="45">
        <f>F475 * G475 * 32.939478</f>
        <v>21.08126592</v>
      </c>
      <c r="N475" s="46">
        <f>SUM(H475:M475)</f>
        <v>255.42491071999999</v>
      </c>
      <c r="O475" s="93">
        <f t="shared" ref="O475:O476" si="183">N475*1.07*1.09*1.05</f>
        <v>312.79717704137283</v>
      </c>
      <c r="P475" s="33">
        <f t="shared" ref="P475:P476" si="184">IF($P$9&gt;0,O475/$P$9/12,0)</f>
        <v>4.9172668213760427E-3</v>
      </c>
    </row>
    <row r="476" spans="2:16" ht="30" x14ac:dyDescent="0.25">
      <c r="B476" s="26">
        <v>282</v>
      </c>
      <c r="C476" s="27" t="s">
        <v>1026</v>
      </c>
      <c r="D476" s="28" t="s">
        <v>1027</v>
      </c>
      <c r="E476" s="28" t="s">
        <v>1028</v>
      </c>
      <c r="F476" s="29">
        <v>0.11</v>
      </c>
      <c r="G476" s="30">
        <v>2</v>
      </c>
      <c r="H476" s="45">
        <f>F476 * G476 * 414.854426</f>
        <v>91.267973720000001</v>
      </c>
      <c r="I476" s="45">
        <f>F476 * G476 * 48.04673</f>
        <v>10.570280599999998</v>
      </c>
      <c r="J476" s="45">
        <f>F476 * G476 * 0</f>
        <v>0</v>
      </c>
      <c r="K476" s="45">
        <f>F476 * G476 * 394.941414</f>
        <v>86.887111079999997</v>
      </c>
      <c r="L476" s="45">
        <f>F476 * G476 * 90.07347</f>
        <v>19.816163400000001</v>
      </c>
      <c r="M476" s="45">
        <f>F476 * G476 * 82.970885</f>
        <v>18.253594700000001</v>
      </c>
      <c r="N476" s="46">
        <f>SUM(H476:M476)</f>
        <v>226.79512349999999</v>
      </c>
      <c r="O476" s="93">
        <f t="shared" si="183"/>
        <v>277.73671016495251</v>
      </c>
      <c r="P476" s="33">
        <f t="shared" si="184"/>
        <v>4.3661056115976938E-3</v>
      </c>
    </row>
    <row r="477" spans="2:16" x14ac:dyDescent="0.25">
      <c r="B477" s="35"/>
      <c r="C477" s="36" t="s">
        <v>1029</v>
      </c>
      <c r="D477" s="96" t="s">
        <v>1030</v>
      </c>
      <c r="E477" s="96"/>
      <c r="F477" s="96"/>
      <c r="G477" s="96"/>
      <c r="H477" s="96"/>
      <c r="I477" s="96"/>
      <c r="J477" s="96"/>
      <c r="K477" s="96"/>
      <c r="L477" s="96"/>
      <c r="M477" s="96"/>
      <c r="N477" s="96"/>
      <c r="O477" s="96"/>
      <c r="P477" s="96"/>
    </row>
    <row r="478" spans="2:16" ht="30" x14ac:dyDescent="0.25">
      <c r="B478" s="26">
        <v>283</v>
      </c>
      <c r="C478" s="27" t="s">
        <v>1031</v>
      </c>
      <c r="D478" s="28" t="s">
        <v>1032</v>
      </c>
      <c r="E478" s="28" t="s">
        <v>1033</v>
      </c>
      <c r="F478" s="29">
        <v>5.7000000000000002E-2</v>
      </c>
      <c r="G478" s="30">
        <v>1</v>
      </c>
      <c r="H478" s="45">
        <f>F478 * G478 * 417.782379</f>
        <v>23.813595603</v>
      </c>
      <c r="I478" s="45">
        <f>F478 * G478 * 70.02635</f>
        <v>3.99150195</v>
      </c>
      <c r="J478" s="45">
        <f>F478 * G478 * 0</f>
        <v>0</v>
      </c>
      <c r="K478" s="45">
        <f>F478 * G478 * 397.728824</f>
        <v>22.670542967999999</v>
      </c>
      <c r="L478" s="45">
        <f>F478 * G478 * 92.981443</f>
        <v>5.299942251</v>
      </c>
      <c r="M478" s="45">
        <f>F478 * G478 * 83.556476</f>
        <v>4.762719132</v>
      </c>
      <c r="N478" s="46">
        <f>SUM(H478:M478)</f>
        <v>60.538301904000001</v>
      </c>
      <c r="O478" s="93">
        <f t="shared" ref="O478:O479" si="185">N478*1.07*1.09*1.05</f>
        <v>74.136112586166973</v>
      </c>
      <c r="P478" s="33">
        <f t="shared" ref="P478:P479" si="186">IF($P$9&gt;0,O478/$P$9/12,0)</f>
        <v>1.1654422528165594E-3</v>
      </c>
    </row>
    <row r="479" spans="2:16" ht="30" x14ac:dyDescent="0.25">
      <c r="B479" s="26">
        <v>284</v>
      </c>
      <c r="C479" s="27" t="s">
        <v>1034</v>
      </c>
      <c r="D479" s="28" t="s">
        <v>1035</v>
      </c>
      <c r="E479" s="28" t="s">
        <v>1036</v>
      </c>
      <c r="F479" s="29">
        <v>0.28000000000000003</v>
      </c>
      <c r="G479" s="30">
        <v>2</v>
      </c>
      <c r="H479" s="45">
        <f>F479 * G479 * 613.040285</f>
        <v>343.30255960000005</v>
      </c>
      <c r="I479" s="45">
        <f>F479 * G479 * 186.070624</f>
        <v>104.19954944000001</v>
      </c>
      <c r="J479" s="45">
        <f>F479 * G479 * 0</f>
        <v>0</v>
      </c>
      <c r="K479" s="45">
        <f>F479 * G479 * 583.614351</f>
        <v>326.82403656000008</v>
      </c>
      <c r="L479" s="45">
        <f>F479 * G479 * 145.186152</f>
        <v>81.304245120000004</v>
      </c>
      <c r="M479" s="45">
        <f>F479 * G479 * 122.608057</f>
        <v>68.660511920000005</v>
      </c>
      <c r="N479" s="46">
        <f>SUM(H479:M479)</f>
        <v>924.29090264000013</v>
      </c>
      <c r="O479" s="93">
        <f t="shared" si="185"/>
        <v>1131.9005037364841</v>
      </c>
      <c r="P479" s="33">
        <f t="shared" si="186"/>
        <v>1.7793820407100612E-2</v>
      </c>
    </row>
    <row r="480" spans="2:16" x14ac:dyDescent="0.25">
      <c r="B480" s="35"/>
      <c r="C480" s="36" t="s">
        <v>1037</v>
      </c>
      <c r="D480" s="96" t="s">
        <v>1038</v>
      </c>
      <c r="E480" s="96"/>
      <c r="F480" s="96"/>
      <c r="G480" s="96"/>
      <c r="H480" s="96"/>
      <c r="I480" s="96"/>
      <c r="J480" s="96"/>
      <c r="K480" s="96"/>
      <c r="L480" s="96"/>
      <c r="M480" s="96"/>
      <c r="N480" s="96"/>
      <c r="O480" s="96"/>
      <c r="P480" s="96"/>
    </row>
    <row r="481" spans="2:16" ht="30" x14ac:dyDescent="0.25">
      <c r="B481" s="26">
        <v>285</v>
      </c>
      <c r="C481" s="27" t="s">
        <v>1039</v>
      </c>
      <c r="D481" s="28" t="s">
        <v>1040</v>
      </c>
      <c r="E481" s="28" t="s">
        <v>1041</v>
      </c>
      <c r="F481" s="29">
        <v>0.08</v>
      </c>
      <c r="G481" s="30">
        <v>2</v>
      </c>
      <c r="H481" s="45">
        <f>F481 * G481 * 195.257906</f>
        <v>31.241264959999999</v>
      </c>
      <c r="I481" s="45">
        <f>F481 * G481 * 58.58163</f>
        <v>9.3730607999999993</v>
      </c>
      <c r="J481" s="45">
        <f>F481 * G481 * 0</f>
        <v>0</v>
      </c>
      <c r="K481" s="45">
        <f>F481 * G481 * 185.885527</f>
        <v>29.741684320000001</v>
      </c>
      <c r="L481" s="45">
        <f>F481 * G481 * 46.171131</f>
        <v>7.3873809600000007</v>
      </c>
      <c r="M481" s="45">
        <f>F481 * G481 * 39.051581</f>
        <v>6.2482529600000003</v>
      </c>
      <c r="N481" s="46">
        <f>SUM(H481:M481)</f>
        <v>83.991644000000008</v>
      </c>
      <c r="O481" s="93">
        <f t="shared" ref="O481:O482" si="187">N481*1.07*1.09*1.05</f>
        <v>102.85742711706003</v>
      </c>
      <c r="P481" s="33">
        <f t="shared" ref="P481:P482" si="188">IF($P$9&gt;0,O481/$P$9/12,0)</f>
        <v>1.6169500584333151E-3</v>
      </c>
    </row>
    <row r="482" spans="2:16" x14ac:dyDescent="0.25">
      <c r="B482" s="26">
        <v>286</v>
      </c>
      <c r="C482" s="27" t="s">
        <v>1042</v>
      </c>
      <c r="D482" s="28" t="s">
        <v>1043</v>
      </c>
      <c r="E482" s="28" t="s">
        <v>1044</v>
      </c>
      <c r="F482" s="29">
        <v>9.91</v>
      </c>
      <c r="G482" s="30">
        <v>1</v>
      </c>
      <c r="H482" s="45">
        <f>F482 * G482 * 192.146955</f>
        <v>1904.1763240499999</v>
      </c>
      <c r="I482" s="45">
        <f>F482 * G482 * 9.252198</f>
        <v>91.689282180000006</v>
      </c>
      <c r="J482" s="45">
        <f>F482 * G482 * 0</f>
        <v>0</v>
      </c>
      <c r="K482" s="45">
        <f>F482 * G482 * 182.923901</f>
        <v>1812.7758589100001</v>
      </c>
      <c r="L482" s="45">
        <f>F482 * G482 * 40.35392</f>
        <v>399.9073472</v>
      </c>
      <c r="M482" s="45">
        <f>F482 * G482 * 38.429391</f>
        <v>380.83526481000001</v>
      </c>
      <c r="N482" s="46">
        <f>SUM(H482:M482)</f>
        <v>4589.3840771499999</v>
      </c>
      <c r="O482" s="93">
        <f t="shared" si="187"/>
        <v>5620.2285816390486</v>
      </c>
      <c r="P482" s="33">
        <f t="shared" si="188"/>
        <v>8.8351703792351258E-2</v>
      </c>
    </row>
    <row r="483" spans="2:16" ht="13.9" customHeight="1" x14ac:dyDescent="0.25">
      <c r="B483" s="97" t="s">
        <v>371</v>
      </c>
      <c r="C483" s="97"/>
      <c r="D483" s="97"/>
      <c r="E483" s="97"/>
      <c r="F483" s="97"/>
      <c r="G483" s="97"/>
      <c r="H483" s="47">
        <f t="shared" ref="H483:P483" si="189">SUM(H465:H482)</f>
        <v>338555.84334161296</v>
      </c>
      <c r="I483" s="47">
        <f t="shared" si="189"/>
        <v>18522.064800249998</v>
      </c>
      <c r="J483" s="47">
        <f t="shared" si="189"/>
        <v>0</v>
      </c>
      <c r="K483" s="47">
        <f t="shared" si="189"/>
        <v>322305.16321615799</v>
      </c>
      <c r="L483" s="47">
        <f t="shared" si="189"/>
        <v>71335.221941971016</v>
      </c>
      <c r="M483" s="47">
        <f t="shared" si="189"/>
        <v>67711.168944161996</v>
      </c>
      <c r="N483" s="47">
        <f t="shared" si="189"/>
        <v>818429.46224415395</v>
      </c>
      <c r="O483" s="47">
        <f t="shared" si="189"/>
        <v>1002260.9959061246</v>
      </c>
      <c r="P483" s="48">
        <f t="shared" si="189"/>
        <v>15.755847888859405</v>
      </c>
    </row>
    <row r="484" spans="2:16" x14ac:dyDescent="0.25">
      <c r="B484" s="98" t="s">
        <v>1045</v>
      </c>
      <c r="C484" s="98"/>
      <c r="D484" s="98"/>
      <c r="E484" s="98"/>
      <c r="F484" s="98"/>
      <c r="G484" s="98"/>
      <c r="H484" s="98"/>
      <c r="I484" s="98"/>
      <c r="J484" s="98"/>
      <c r="K484" s="98"/>
      <c r="L484" s="98"/>
      <c r="M484" s="102"/>
      <c r="N484" s="102"/>
      <c r="O484" s="41"/>
      <c r="P484" s="42"/>
    </row>
    <row r="485" spans="2:16" x14ac:dyDescent="0.25">
      <c r="B485" s="98"/>
      <c r="C485" s="98"/>
      <c r="D485" s="98"/>
      <c r="E485" s="98"/>
      <c r="F485" s="98"/>
      <c r="G485" s="98"/>
      <c r="H485" s="98"/>
      <c r="I485" s="98"/>
      <c r="J485" s="98"/>
      <c r="K485" s="98"/>
      <c r="L485" s="98"/>
      <c r="M485" s="103"/>
      <c r="N485" s="103"/>
      <c r="O485" s="43"/>
      <c r="P485" s="44"/>
    </row>
    <row r="486" spans="2:16" ht="13.9" customHeight="1" x14ac:dyDescent="0.25">
      <c r="B486" s="23"/>
      <c r="C486" s="24" t="s">
        <v>350</v>
      </c>
      <c r="D486" s="100" t="s">
        <v>1046</v>
      </c>
      <c r="E486" s="100"/>
      <c r="F486" s="100"/>
      <c r="G486" s="100"/>
      <c r="H486" s="100"/>
      <c r="I486" s="100"/>
      <c r="J486" s="100"/>
      <c r="K486" s="100"/>
      <c r="L486" s="100"/>
      <c r="M486" s="100"/>
      <c r="N486" s="100"/>
      <c r="O486" s="100"/>
      <c r="P486" s="100"/>
    </row>
    <row r="487" spans="2:16" x14ac:dyDescent="0.25">
      <c r="B487" s="35"/>
      <c r="C487" s="36" t="s">
        <v>1047</v>
      </c>
      <c r="D487" s="96" t="s">
        <v>1048</v>
      </c>
      <c r="E487" s="96"/>
      <c r="F487" s="96"/>
      <c r="G487" s="96"/>
      <c r="H487" s="96"/>
      <c r="I487" s="96"/>
      <c r="J487" s="96"/>
      <c r="K487" s="96"/>
      <c r="L487" s="96"/>
      <c r="M487" s="96"/>
      <c r="N487" s="96"/>
      <c r="O487" s="96"/>
      <c r="P487" s="96"/>
    </row>
    <row r="488" spans="2:16" ht="30" x14ac:dyDescent="0.25">
      <c r="B488" s="26">
        <v>287</v>
      </c>
      <c r="C488" s="27" t="s">
        <v>1049</v>
      </c>
      <c r="D488" s="28" t="s">
        <v>1050</v>
      </c>
      <c r="E488" s="28" t="s">
        <v>1051</v>
      </c>
      <c r="F488" s="29">
        <v>1.28</v>
      </c>
      <c r="G488" s="30">
        <v>72</v>
      </c>
      <c r="H488" s="45">
        <f>F488 * G488 * 226.678018</f>
        <v>20890.646138880002</v>
      </c>
      <c r="I488" s="45">
        <f>F488 * G488 * 1.65976</f>
        <v>152.96348159999999</v>
      </c>
      <c r="J488" s="45">
        <f>F488 * G488 * 0</f>
        <v>0</v>
      </c>
      <c r="K488" s="45">
        <f>F488 * G488 * 215.797473</f>
        <v>19887.895111679998</v>
      </c>
      <c r="L488" s="45">
        <f>F488 * G488 * 46.634201</f>
        <v>4297.8079641599998</v>
      </c>
      <c r="M488" s="45">
        <f>F488 * G488 * 45.335604</f>
        <v>4178.1292646399997</v>
      </c>
      <c r="N488" s="46">
        <f>SUM(H488:M488)</f>
        <v>49407.441960960001</v>
      </c>
      <c r="O488" s="93">
        <f t="shared" ref="O488" si="190">N488*1.07*1.09*1.05</f>
        <v>60505.094537021039</v>
      </c>
      <c r="P488" s="33">
        <f>IF($P$9&gt;0,O488/$P$9/12,0)</f>
        <v>0.95115850055054141</v>
      </c>
    </row>
    <row r="489" spans="2:16" x14ac:dyDescent="0.25">
      <c r="B489" s="35"/>
      <c r="C489" s="36" t="s">
        <v>1052</v>
      </c>
      <c r="D489" s="96" t="s">
        <v>1053</v>
      </c>
      <c r="E489" s="96"/>
      <c r="F489" s="96"/>
      <c r="G489" s="96"/>
      <c r="H489" s="96"/>
      <c r="I489" s="96"/>
      <c r="J489" s="96"/>
      <c r="K489" s="96"/>
      <c r="L489" s="96"/>
      <c r="M489" s="96"/>
      <c r="N489" s="96"/>
      <c r="O489" s="96"/>
      <c r="P489" s="96"/>
    </row>
    <row r="490" spans="2:16" x14ac:dyDescent="0.25">
      <c r="B490" s="35"/>
      <c r="C490" s="36" t="s">
        <v>1054</v>
      </c>
      <c r="D490" s="101" t="s">
        <v>1055</v>
      </c>
      <c r="E490" s="101"/>
      <c r="F490" s="101"/>
      <c r="G490" s="101"/>
      <c r="H490" s="101"/>
      <c r="I490" s="101"/>
      <c r="J490" s="101"/>
      <c r="K490" s="101"/>
      <c r="L490" s="101"/>
      <c r="M490" s="101"/>
      <c r="N490" s="101"/>
      <c r="O490" s="101"/>
      <c r="P490" s="101"/>
    </row>
    <row r="491" spans="2:16" ht="30" x14ac:dyDescent="0.25">
      <c r="B491" s="26">
        <v>288</v>
      </c>
      <c r="C491" s="27" t="s">
        <v>1056</v>
      </c>
      <c r="D491" s="28" t="s">
        <v>1057</v>
      </c>
      <c r="E491" s="28" t="s">
        <v>1058</v>
      </c>
      <c r="F491" s="29">
        <v>3.9E-2</v>
      </c>
      <c r="G491" s="30">
        <v>14</v>
      </c>
      <c r="H491" s="45">
        <f>F491 * G491 * 198840.934782</f>
        <v>108567.150390972</v>
      </c>
      <c r="I491" s="45">
        <f>F491 * G491 * 1427.858195</f>
        <v>779.61057447000007</v>
      </c>
      <c r="J491" s="45">
        <f>F491 * G491 * 0</f>
        <v>0</v>
      </c>
      <c r="K491" s="45">
        <f>F491 * G491 * 189296.569912</f>
        <v>103355.92717195202</v>
      </c>
      <c r="L491" s="45">
        <f>F491 * G491 * 40904.363103</f>
        <v>22333.782254238002</v>
      </c>
      <c r="M491" s="45">
        <f>F491 * G491 * 39768.186956</f>
        <v>21713.430077976001</v>
      </c>
      <c r="N491" s="46">
        <f>SUM(H491:M491)</f>
        <v>256749.90046960802</v>
      </c>
      <c r="O491" s="93">
        <f t="shared" ref="O491:O493" si="191">N491*1.07*1.09*1.05</f>
        <v>314419.77936358907</v>
      </c>
      <c r="P491" s="33">
        <f t="shared" ref="P491:P493" si="192">IF($P$9&gt;0,O491/$P$9/12,0)</f>
        <v>4.9427746237123351</v>
      </c>
    </row>
    <row r="492" spans="2:16" x14ac:dyDescent="0.25">
      <c r="B492" s="26">
        <v>289</v>
      </c>
      <c r="C492" s="27" t="s">
        <v>1059</v>
      </c>
      <c r="D492" s="28" t="s">
        <v>1060</v>
      </c>
      <c r="E492" s="28" t="s">
        <v>1061</v>
      </c>
      <c r="F492" s="29">
        <v>3.9E-2</v>
      </c>
      <c r="G492" s="30">
        <v>4</v>
      </c>
      <c r="H492" s="45">
        <f>F492 * G492 * 17043.46</f>
        <v>2658.7797599999999</v>
      </c>
      <c r="I492" s="45">
        <f>F492 * G492 * 0</f>
        <v>0</v>
      </c>
      <c r="J492" s="45">
        <f>F492 * G492 * 0</f>
        <v>0</v>
      </c>
      <c r="K492" s="45">
        <f>F492 * G492 * 16225.37392</f>
        <v>2531.15833152</v>
      </c>
      <c r="L492" s="45">
        <f>F492 * G492 * 3493.227562</f>
        <v>544.94349967200003</v>
      </c>
      <c r="M492" s="45">
        <f>F492 * G492 * 3408.692</f>
        <v>531.75595199999998</v>
      </c>
      <c r="N492" s="46">
        <f>SUM(H492:M492)</f>
        <v>6266.6375431920005</v>
      </c>
      <c r="O492" s="93">
        <f t="shared" si="191"/>
        <v>7674.2183349560737</v>
      </c>
      <c r="P492" s="33">
        <f t="shared" si="192"/>
        <v>0.1206410478361956</v>
      </c>
    </row>
    <row r="493" spans="2:16" x14ac:dyDescent="0.25">
      <c r="B493" s="26">
        <v>290</v>
      </c>
      <c r="C493" s="27" t="s">
        <v>1062</v>
      </c>
      <c r="D493" s="28" t="s">
        <v>1063</v>
      </c>
      <c r="E493" s="28" t="s">
        <v>1064</v>
      </c>
      <c r="F493" s="29">
        <v>39.630000000000003</v>
      </c>
      <c r="G493" s="30">
        <v>4</v>
      </c>
      <c r="H493" s="45">
        <f>F493 * G493 * 179.337158</f>
        <v>28428.526286159999</v>
      </c>
      <c r="I493" s="45">
        <f>F493 * G493 * 39.834236</f>
        <v>6314.5230907200003</v>
      </c>
      <c r="J493" s="45">
        <f>F493 * G493 * 60.102</f>
        <v>9527.3690399999996</v>
      </c>
      <c r="K493" s="45">
        <f>F493 * G493 * 170.728975</f>
        <v>27063.957117000002</v>
      </c>
      <c r="L493" s="45">
        <f>F493 * G493 * 47.250249</f>
        <v>7490.1094714800001</v>
      </c>
      <c r="M493" s="45">
        <f>F493 * G493 * 35.867432</f>
        <v>5685.7053206400005</v>
      </c>
      <c r="N493" s="46">
        <f>SUM(H493:M493)</f>
        <v>84510.190325999996</v>
      </c>
      <c r="O493" s="93">
        <f t="shared" si="191"/>
        <v>103492.4467260745</v>
      </c>
      <c r="P493" s="33">
        <f t="shared" si="192"/>
        <v>1.6269327599521237</v>
      </c>
    </row>
    <row r="494" spans="2:16" x14ac:dyDescent="0.25">
      <c r="B494" s="35"/>
      <c r="C494" s="36" t="s">
        <v>1065</v>
      </c>
      <c r="D494" s="101" t="s">
        <v>1066</v>
      </c>
      <c r="E494" s="101"/>
      <c r="F494" s="101"/>
      <c r="G494" s="101"/>
      <c r="H494" s="101"/>
      <c r="I494" s="101"/>
      <c r="J494" s="101"/>
      <c r="K494" s="101"/>
      <c r="L494" s="101"/>
      <c r="M494" s="101"/>
      <c r="N494" s="101"/>
      <c r="O494" s="101"/>
      <c r="P494" s="101"/>
    </row>
    <row r="495" spans="2:16" x14ac:dyDescent="0.25">
      <c r="B495" s="26">
        <v>291</v>
      </c>
      <c r="C495" s="27" t="s">
        <v>1067</v>
      </c>
      <c r="D495" s="28" t="s">
        <v>1068</v>
      </c>
      <c r="E495" s="28" t="s">
        <v>1069</v>
      </c>
      <c r="F495" s="29">
        <v>0.01</v>
      </c>
      <c r="G495" s="30">
        <v>96</v>
      </c>
      <c r="H495" s="45">
        <f>F495 * G495 * 410.747386</f>
        <v>394.31749056000001</v>
      </c>
      <c r="I495" s="45">
        <f>F495 * G495 * 663.903936</f>
        <v>637.34777856000005</v>
      </c>
      <c r="J495" s="45">
        <f>F495 * G495 * 0</f>
        <v>0</v>
      </c>
      <c r="K495" s="45">
        <f>F495 * G495 * 391.031512</f>
        <v>375.39025151999999</v>
      </c>
      <c r="L495" s="45">
        <f>F495 * G495 * 153.896697</f>
        <v>147.74082911999997</v>
      </c>
      <c r="M495" s="45">
        <f>F495 * G495 * 82.149477</f>
        <v>78.86349792</v>
      </c>
      <c r="N495" s="46">
        <f>SUM(H495:M495)</f>
        <v>1633.6598476800002</v>
      </c>
      <c r="O495" s="93">
        <f t="shared" ref="O495" si="193">N495*1.07*1.09*1.05</f>
        <v>2000.6043543666437</v>
      </c>
      <c r="P495" s="33">
        <f>IF($P$9&gt;0,O495/$P$9/12,0)</f>
        <v>3.1450109324760167E-2</v>
      </c>
    </row>
    <row r="496" spans="2:16" x14ac:dyDescent="0.25">
      <c r="B496" s="35"/>
      <c r="C496" s="36" t="s">
        <v>1070</v>
      </c>
      <c r="D496" s="96" t="s">
        <v>1071</v>
      </c>
      <c r="E496" s="96"/>
      <c r="F496" s="96"/>
      <c r="G496" s="96"/>
      <c r="H496" s="96"/>
      <c r="I496" s="96"/>
      <c r="J496" s="96"/>
      <c r="K496" s="96"/>
      <c r="L496" s="96"/>
      <c r="M496" s="96"/>
      <c r="N496" s="96"/>
      <c r="O496" s="96"/>
      <c r="P496" s="96"/>
    </row>
    <row r="497" spans="2:16" ht="45" x14ac:dyDescent="0.25">
      <c r="B497" s="26">
        <v>292</v>
      </c>
      <c r="C497" s="27" t="s">
        <v>1072</v>
      </c>
      <c r="D497" s="28" t="s">
        <v>1073</v>
      </c>
      <c r="E497" s="28" t="s">
        <v>1074</v>
      </c>
      <c r="F497" s="29">
        <v>0.13</v>
      </c>
      <c r="G497" s="30">
        <v>30</v>
      </c>
      <c r="H497" s="45">
        <f>F497 * G497 * 17328.085782</f>
        <v>67579.534549799995</v>
      </c>
      <c r="I497" s="45">
        <f>F497 * G497 * 0</f>
        <v>0</v>
      </c>
      <c r="J497" s="45">
        <f>F497 * G497 * 0</f>
        <v>0</v>
      </c>
      <c r="K497" s="45">
        <f>F497 * G497 * 16496.337664</f>
        <v>64335.7168896</v>
      </c>
      <c r="L497" s="45">
        <f>F497 * G497 * 3551.564462</f>
        <v>13851.101401800001</v>
      </c>
      <c r="M497" s="45">
        <f>F497 * G497 * 3465.617156</f>
        <v>13515.9069084</v>
      </c>
      <c r="N497" s="46">
        <f>SUM(H497:M497)</f>
        <v>159282.25974959999</v>
      </c>
      <c r="O497" s="93">
        <f t="shared" ref="O497" si="194">N497*1.07*1.09*1.05</f>
        <v>195059.44452325639</v>
      </c>
      <c r="P497" s="33">
        <f>IF($P$9&gt;0,O497/$P$9/12,0)</f>
        <v>3.0663938332902028</v>
      </c>
    </row>
    <row r="498" spans="2:16" x14ac:dyDescent="0.25">
      <c r="B498" s="35"/>
      <c r="C498" s="36" t="s">
        <v>1075</v>
      </c>
      <c r="D498" s="96" t="s">
        <v>1076</v>
      </c>
      <c r="E498" s="96"/>
      <c r="F498" s="96"/>
      <c r="G498" s="96"/>
      <c r="H498" s="96"/>
      <c r="I498" s="96"/>
      <c r="J498" s="96"/>
      <c r="K498" s="96"/>
      <c r="L498" s="96"/>
      <c r="M498" s="96"/>
      <c r="N498" s="96"/>
      <c r="O498" s="96"/>
      <c r="P498" s="96"/>
    </row>
    <row r="499" spans="2:16" x14ac:dyDescent="0.25">
      <c r="B499" s="26">
        <v>293</v>
      </c>
      <c r="C499" s="27" t="s">
        <v>1077</v>
      </c>
      <c r="D499" s="28" t="s">
        <v>1078</v>
      </c>
      <c r="E499" s="28" t="s">
        <v>99</v>
      </c>
      <c r="F499" s="29">
        <v>12.86</v>
      </c>
      <c r="G499" s="30">
        <v>30</v>
      </c>
      <c r="H499" s="45">
        <f>F499 * G499 * 36.813874</f>
        <v>14202.792589199998</v>
      </c>
      <c r="I499" s="45">
        <f>F499 * G499 * 79.313674</f>
        <v>30599.215429199998</v>
      </c>
      <c r="J499" s="45">
        <f>F499 * G499 * 0</f>
        <v>0</v>
      </c>
      <c r="K499" s="45">
        <f>F499 * G499 * 35.046808</f>
        <v>13521.058526399998</v>
      </c>
      <c r="L499" s="45">
        <f>F499 * G499 * 15.873308</f>
        <v>6123.9222263999991</v>
      </c>
      <c r="M499" s="45">
        <f>F499 * G499 * 7.362775</f>
        <v>2840.5585949999995</v>
      </c>
      <c r="N499" s="46">
        <f>SUM(H499:M499)</f>
        <v>67287.547366199986</v>
      </c>
      <c r="O499" s="93">
        <f t="shared" ref="O499:O502" si="195">N499*1.07*1.09*1.05</f>
        <v>82401.339817859014</v>
      </c>
      <c r="P499" s="33">
        <f t="shared" ref="P499:P502" si="196">IF($P$9&gt;0,O499/$P$9/12,0)</f>
        <v>1.2953741403801013</v>
      </c>
    </row>
    <row r="500" spans="2:16" ht="30" x14ac:dyDescent="0.25">
      <c r="B500" s="26">
        <v>294</v>
      </c>
      <c r="C500" s="27"/>
      <c r="D500" s="28" t="s">
        <v>1079</v>
      </c>
      <c r="E500" s="28" t="s">
        <v>1080</v>
      </c>
      <c r="F500" s="29">
        <f>1286.4*0.2</f>
        <v>257.28000000000003</v>
      </c>
      <c r="G500" s="30">
        <v>2</v>
      </c>
      <c r="H500" s="31">
        <f>F500 * G500 * 0</f>
        <v>0</v>
      </c>
      <c r="I500" s="31">
        <f>F500 * G500 * 0</f>
        <v>0</v>
      </c>
      <c r="J500" s="31"/>
      <c r="K500" s="31"/>
      <c r="L500" s="31"/>
      <c r="M500" s="31"/>
      <c r="N500" s="32">
        <f>F500*125*G500</f>
        <v>64320.000000000007</v>
      </c>
      <c r="O500" s="92">
        <f t="shared" si="195"/>
        <v>78767.236800000013</v>
      </c>
      <c r="P500" s="33">
        <f t="shared" si="196"/>
        <v>1.2382449349179401</v>
      </c>
    </row>
    <row r="501" spans="2:16" x14ac:dyDescent="0.25">
      <c r="B501" s="26">
        <v>295</v>
      </c>
      <c r="C501" s="27"/>
      <c r="D501" s="49" t="s">
        <v>1081</v>
      </c>
      <c r="E501" s="49" t="s">
        <v>132</v>
      </c>
      <c r="F501" s="50">
        <v>1286.4000000000001</v>
      </c>
      <c r="G501" s="51">
        <v>2</v>
      </c>
      <c r="H501" s="52"/>
      <c r="I501" s="52"/>
      <c r="J501" s="52"/>
      <c r="K501" s="52"/>
      <c r="L501" s="52"/>
      <c r="M501" s="52"/>
      <c r="N501" s="53">
        <f>F501*0.2*G501*275</f>
        <v>141504.00000000003</v>
      </c>
      <c r="O501" s="94">
        <f t="shared" si="195"/>
        <v>173287.92096000005</v>
      </c>
      <c r="P501" s="33">
        <f t="shared" si="196"/>
        <v>2.7241388568194687</v>
      </c>
    </row>
    <row r="502" spans="2:16" x14ac:dyDescent="0.25">
      <c r="B502" s="26">
        <v>296</v>
      </c>
      <c r="C502" s="27"/>
      <c r="D502" s="49" t="s">
        <v>1082</v>
      </c>
      <c r="E502" s="28" t="s">
        <v>1080</v>
      </c>
      <c r="F502" s="29">
        <f>1286.4*0.2</f>
        <v>257.28000000000003</v>
      </c>
      <c r="G502" s="51">
        <v>2</v>
      </c>
      <c r="H502" s="52"/>
      <c r="I502" s="52"/>
      <c r="J502" s="52"/>
      <c r="K502" s="52"/>
      <c r="L502" s="52"/>
      <c r="M502" s="52"/>
      <c r="N502" s="32">
        <f>F502*200*G502</f>
        <v>102912.00000000001</v>
      </c>
      <c r="O502" s="92">
        <f t="shared" si="195"/>
        <v>126027.57888000004</v>
      </c>
      <c r="P502" s="33">
        <f t="shared" si="196"/>
        <v>1.9811918958687047</v>
      </c>
    </row>
    <row r="503" spans="2:16" ht="13.9" customHeight="1" x14ac:dyDescent="0.25">
      <c r="B503" s="97" t="s">
        <v>371</v>
      </c>
      <c r="C503" s="97"/>
      <c r="D503" s="97"/>
      <c r="E503" s="97"/>
      <c r="F503" s="97"/>
      <c r="G503" s="97"/>
      <c r="H503" s="48">
        <f t="shared" ref="H503:P503" si="197">SUM(H486:H502)</f>
        <v>242721.747205572</v>
      </c>
      <c r="I503" s="48">
        <f t="shared" si="197"/>
        <v>38483.660354549997</v>
      </c>
      <c r="J503" s="48">
        <f t="shared" si="197"/>
        <v>9527.3690399999996</v>
      </c>
      <c r="K503" s="48">
        <f t="shared" si="197"/>
        <v>231071.10339967205</v>
      </c>
      <c r="L503" s="48">
        <f t="shared" si="197"/>
        <v>54789.407646869993</v>
      </c>
      <c r="M503" s="48">
        <f t="shared" si="197"/>
        <v>48544.349616576008</v>
      </c>
      <c r="N503" s="48">
        <f t="shared" si="197"/>
        <v>933873.63726324006</v>
      </c>
      <c r="O503" s="48">
        <f t="shared" si="197"/>
        <v>1143635.664297123</v>
      </c>
      <c r="P503" s="48">
        <f t="shared" si="197"/>
        <v>17.978300702652373</v>
      </c>
    </row>
    <row r="504" spans="2:16" x14ac:dyDescent="0.25">
      <c r="B504" s="98" t="s">
        <v>1083</v>
      </c>
      <c r="C504" s="98"/>
      <c r="D504" s="98"/>
      <c r="E504" s="98"/>
      <c r="F504" s="98"/>
      <c r="G504" s="98"/>
      <c r="H504" s="98"/>
      <c r="I504" s="98"/>
      <c r="J504" s="98"/>
      <c r="K504" s="98"/>
      <c r="L504" s="98"/>
      <c r="M504" s="102"/>
      <c r="N504" s="102"/>
      <c r="O504" s="41"/>
      <c r="P504" s="42"/>
    </row>
    <row r="505" spans="2:16" x14ac:dyDescent="0.25">
      <c r="B505" s="98"/>
      <c r="C505" s="98"/>
      <c r="D505" s="98"/>
      <c r="E505" s="98"/>
      <c r="F505" s="98"/>
      <c r="G505" s="98"/>
      <c r="H505" s="98"/>
      <c r="I505" s="98"/>
      <c r="J505" s="98"/>
      <c r="K505" s="98"/>
      <c r="L505" s="98"/>
      <c r="M505" s="103"/>
      <c r="N505" s="103"/>
      <c r="O505" s="43"/>
      <c r="P505" s="44"/>
    </row>
    <row r="506" spans="2:16" ht="13.9" customHeight="1" x14ac:dyDescent="0.25">
      <c r="B506" s="23"/>
      <c r="C506" s="24" t="s">
        <v>1002</v>
      </c>
      <c r="D506" s="100" t="s">
        <v>1003</v>
      </c>
      <c r="E506" s="100"/>
      <c r="F506" s="100"/>
      <c r="G506" s="100"/>
      <c r="H506" s="100"/>
      <c r="I506" s="100"/>
      <c r="J506" s="100"/>
      <c r="K506" s="100"/>
      <c r="L506" s="100"/>
      <c r="M506" s="100"/>
      <c r="N506" s="100"/>
      <c r="O506" s="100"/>
      <c r="P506" s="100"/>
    </row>
    <row r="507" spans="2:16" x14ac:dyDescent="0.25">
      <c r="B507" s="35"/>
      <c r="C507" s="36" t="s">
        <v>1084</v>
      </c>
      <c r="D507" s="96" t="s">
        <v>1085</v>
      </c>
      <c r="E507" s="96"/>
      <c r="F507" s="96"/>
      <c r="G507" s="96"/>
      <c r="H507" s="96"/>
      <c r="I507" s="96"/>
      <c r="J507" s="96"/>
      <c r="K507" s="96"/>
      <c r="L507" s="96"/>
      <c r="M507" s="96"/>
      <c r="N507" s="96"/>
      <c r="O507" s="96"/>
      <c r="P507" s="96"/>
    </row>
    <row r="508" spans="2:16" x14ac:dyDescent="0.25">
      <c r="B508" s="35"/>
      <c r="C508" s="36" t="s">
        <v>1086</v>
      </c>
      <c r="D508" s="101" t="s">
        <v>1087</v>
      </c>
      <c r="E508" s="101"/>
      <c r="F508" s="101"/>
      <c r="G508" s="101"/>
      <c r="H508" s="101"/>
      <c r="I508" s="101"/>
      <c r="J508" s="101"/>
      <c r="K508" s="101"/>
      <c r="L508" s="101"/>
      <c r="M508" s="101"/>
      <c r="N508" s="101"/>
      <c r="O508" s="101"/>
      <c r="P508" s="101"/>
    </row>
    <row r="509" spans="2:16" x14ac:dyDescent="0.25">
      <c r="B509" s="26">
        <v>297</v>
      </c>
      <c r="C509" s="27" t="s">
        <v>1088</v>
      </c>
      <c r="D509" s="28" t="s">
        <v>1089</v>
      </c>
      <c r="E509" s="28" t="s">
        <v>1090</v>
      </c>
      <c r="F509" s="29">
        <v>0.1</v>
      </c>
      <c r="G509" s="30">
        <v>6</v>
      </c>
      <c r="H509" s="45">
        <f>F509 * G509 * 165.031823</f>
        <v>99.019093800000022</v>
      </c>
      <c r="I509" s="45">
        <f>F509 * G509 * 1137.00312</f>
        <v>682.20187200000009</v>
      </c>
      <c r="J509" s="45">
        <f>F509 * G509 * 0</f>
        <v>0</v>
      </c>
      <c r="K509" s="45">
        <f>F509 * G509 * 157.110296</f>
        <v>94.26617760000002</v>
      </c>
      <c r="L509" s="45">
        <f>F509 * G509 * 153.21025</f>
        <v>91.926150000000021</v>
      </c>
      <c r="M509" s="45">
        <f>F509 * G509 * 33.006365</f>
        <v>19.803819000000004</v>
      </c>
      <c r="N509" s="46">
        <f>SUM(H509:M509)</f>
        <v>987.21711240000013</v>
      </c>
      <c r="O509" s="93">
        <f t="shared" ref="O509" si="198">N509*1.07*1.09*1.05</f>
        <v>1208.9608841017264</v>
      </c>
      <c r="P509" s="33">
        <f>IF($P$9&gt;0,O509/$P$9/12,0)</f>
        <v>1.9005233039390782E-2</v>
      </c>
    </row>
    <row r="510" spans="2:16" ht="13.9" customHeight="1" x14ac:dyDescent="0.25">
      <c r="B510" s="23"/>
      <c r="C510" s="24" t="s">
        <v>350</v>
      </c>
      <c r="D510" s="100" t="s">
        <v>1046</v>
      </c>
      <c r="E510" s="100"/>
      <c r="F510" s="100"/>
      <c r="G510" s="100"/>
      <c r="H510" s="100"/>
      <c r="I510" s="100"/>
      <c r="J510" s="100"/>
      <c r="K510" s="100"/>
      <c r="L510" s="100"/>
      <c r="M510" s="100"/>
      <c r="N510" s="100"/>
      <c r="O510" s="100"/>
      <c r="P510" s="100"/>
    </row>
    <row r="511" spans="2:16" x14ac:dyDescent="0.25">
      <c r="B511" s="26">
        <v>298</v>
      </c>
      <c r="C511" s="27" t="s">
        <v>1091</v>
      </c>
      <c r="D511" s="28" t="s">
        <v>1092</v>
      </c>
      <c r="E511" s="28" t="s">
        <v>102</v>
      </c>
      <c r="F511" s="29">
        <v>0.2</v>
      </c>
      <c r="G511" s="30">
        <v>30</v>
      </c>
      <c r="H511" s="45">
        <f>F511 * G511 * 1022.6076</f>
        <v>6135.6455999999998</v>
      </c>
      <c r="I511" s="45">
        <f>F511 * G511 * 0</f>
        <v>0</v>
      </c>
      <c r="J511" s="45">
        <f>F511 * G511 * 0</f>
        <v>0</v>
      </c>
      <c r="K511" s="45">
        <f>F511 * G511 * 973.522435</f>
        <v>5841.1346100000001</v>
      </c>
      <c r="L511" s="45">
        <f>F511 * G511 * 209.593654</f>
        <v>1257.5619239999999</v>
      </c>
      <c r="M511" s="45">
        <f>F511 * G511 * 204.52152</f>
        <v>1227.1291200000001</v>
      </c>
      <c r="N511" s="46">
        <f>SUM(H511:M511)</f>
        <v>14461.471254</v>
      </c>
      <c r="O511" s="93">
        <f t="shared" ref="O511:O512" si="199">N511*1.07*1.09*1.05</f>
        <v>17709.734619717216</v>
      </c>
      <c r="P511" s="33">
        <f t="shared" ref="P511:P512" si="200">IF($P$9&gt;0,O511/$P$9/12,0)</f>
        <v>0.27840241809276889</v>
      </c>
    </row>
    <row r="512" spans="2:16" x14ac:dyDescent="0.25">
      <c r="B512" s="26">
        <v>299</v>
      </c>
      <c r="C512" s="27" t="s">
        <v>1093</v>
      </c>
      <c r="D512" s="28" t="s">
        <v>1094</v>
      </c>
      <c r="E512" s="28" t="s">
        <v>1064</v>
      </c>
      <c r="F512" s="29">
        <v>0.2</v>
      </c>
      <c r="G512" s="30">
        <v>300</v>
      </c>
      <c r="H512" s="45">
        <f>F512 * G512 * 414.156078</f>
        <v>24849.364679999999</v>
      </c>
      <c r="I512" s="45">
        <f>F512 * G512 * 2.987568</f>
        <v>179.25407999999999</v>
      </c>
      <c r="J512" s="45">
        <f>F512 * G512 * 0</f>
        <v>0</v>
      </c>
      <c r="K512" s="45">
        <f>F512 * G512 * 394.276587</f>
        <v>23656.595219999999</v>
      </c>
      <c r="L512" s="45">
        <f>F512 * G512 * 85.199124</f>
        <v>5111.9474399999999</v>
      </c>
      <c r="M512" s="45">
        <f>F512 * G512 * 82.831216</f>
        <v>4969.8729599999997</v>
      </c>
      <c r="N512" s="46">
        <f>SUM(H512:M512)</f>
        <v>58767.034380000005</v>
      </c>
      <c r="O512" s="93">
        <f t="shared" si="199"/>
        <v>71966.991807263723</v>
      </c>
      <c r="P512" s="33">
        <f t="shared" si="200"/>
        <v>1.1313430140109368</v>
      </c>
    </row>
    <row r="513" spans="2:16" ht="13.9" customHeight="1" x14ac:dyDescent="0.25">
      <c r="B513" s="97" t="s">
        <v>371</v>
      </c>
      <c r="C513" s="97"/>
      <c r="D513" s="97"/>
      <c r="E513" s="97"/>
      <c r="F513" s="97"/>
      <c r="G513" s="97"/>
      <c r="H513" s="47">
        <f t="shared" ref="H513:P513" si="201">SUM(H506:H512)</f>
        <v>31084.029373799996</v>
      </c>
      <c r="I513" s="47">
        <f t="shared" si="201"/>
        <v>861.45595200000002</v>
      </c>
      <c r="J513" s="47">
        <f t="shared" si="201"/>
        <v>0</v>
      </c>
      <c r="K513" s="47">
        <f t="shared" si="201"/>
        <v>29591.996007599999</v>
      </c>
      <c r="L513" s="47">
        <f t="shared" si="201"/>
        <v>6461.4355139999998</v>
      </c>
      <c r="M513" s="47">
        <f t="shared" si="201"/>
        <v>6216.805899</v>
      </c>
      <c r="N513" s="47">
        <f t="shared" si="201"/>
        <v>74215.722746400003</v>
      </c>
      <c r="O513" s="47">
        <f t="shared" si="201"/>
        <v>90885.687311082671</v>
      </c>
      <c r="P513" s="48">
        <f t="shared" si="201"/>
        <v>1.4287506651430966</v>
      </c>
    </row>
    <row r="514" spans="2:16" x14ac:dyDescent="0.25">
      <c r="B514" s="98" t="s">
        <v>1095</v>
      </c>
      <c r="C514" s="98"/>
      <c r="D514" s="98"/>
      <c r="E514" s="98"/>
      <c r="F514" s="98"/>
      <c r="G514" s="98"/>
      <c r="H514" s="98"/>
      <c r="I514" s="98"/>
      <c r="J514" s="98"/>
      <c r="K514" s="98"/>
      <c r="L514" s="98"/>
      <c r="M514" s="102"/>
      <c r="N514" s="102"/>
      <c r="O514" s="41"/>
      <c r="P514" s="42"/>
    </row>
    <row r="515" spans="2:16" x14ac:dyDescent="0.25">
      <c r="B515" s="98"/>
      <c r="C515" s="98"/>
      <c r="D515" s="98"/>
      <c r="E515" s="98"/>
      <c r="F515" s="98"/>
      <c r="G515" s="98"/>
      <c r="H515" s="98"/>
      <c r="I515" s="98"/>
      <c r="J515" s="98"/>
      <c r="K515" s="98"/>
      <c r="L515" s="98"/>
      <c r="M515" s="103"/>
      <c r="N515" s="103"/>
      <c r="O515" s="43"/>
      <c r="P515" s="44"/>
    </row>
    <row r="516" spans="2:16" ht="13.9" customHeight="1" x14ac:dyDescent="0.25">
      <c r="B516" s="23"/>
      <c r="C516" s="24" t="s">
        <v>1096</v>
      </c>
      <c r="D516" s="100" t="s">
        <v>1097</v>
      </c>
      <c r="E516" s="100"/>
      <c r="F516" s="100"/>
      <c r="G516" s="100"/>
      <c r="H516" s="100"/>
      <c r="I516" s="100"/>
      <c r="J516" s="100"/>
      <c r="K516" s="100"/>
      <c r="L516" s="100"/>
      <c r="M516" s="100"/>
      <c r="N516" s="100"/>
      <c r="O516" s="100"/>
      <c r="P516" s="100"/>
    </row>
    <row r="517" spans="2:16" x14ac:dyDescent="0.25">
      <c r="B517" s="35"/>
      <c r="C517" s="36" t="s">
        <v>1098</v>
      </c>
      <c r="D517" s="96" t="s">
        <v>1099</v>
      </c>
      <c r="E517" s="96"/>
      <c r="F517" s="96"/>
      <c r="G517" s="96"/>
      <c r="H517" s="96"/>
      <c r="I517" s="96"/>
      <c r="J517" s="96"/>
      <c r="K517" s="96"/>
      <c r="L517" s="96"/>
      <c r="M517" s="96"/>
      <c r="N517" s="96"/>
      <c r="O517" s="96"/>
      <c r="P517" s="96"/>
    </row>
    <row r="518" spans="2:16" ht="45" x14ac:dyDescent="0.25">
      <c r="B518" s="26">
        <v>300</v>
      </c>
      <c r="C518" s="27" t="s">
        <v>1100</v>
      </c>
      <c r="D518" s="28" t="s">
        <v>1101</v>
      </c>
      <c r="E518" s="28" t="s">
        <v>1102</v>
      </c>
      <c r="F518" s="29">
        <v>0.95</v>
      </c>
      <c r="G518" s="30">
        <v>12</v>
      </c>
      <c r="H518" s="45">
        <f>F518 * G518 * 1133.6668</f>
        <v>12923.801519999997</v>
      </c>
      <c r="I518" s="45">
        <f>F518 * G518 * 4.82112</f>
        <v>54.960767999999987</v>
      </c>
      <c r="J518" s="45">
        <f>F518 * G518 * 0</f>
        <v>0</v>
      </c>
      <c r="K518" s="45">
        <f>F518 * G518 * 1079.250794</f>
        <v>12303.459051599999</v>
      </c>
      <c r="L518" s="45">
        <f>F518 * G518 * 232.862565</f>
        <v>2654.6332409999995</v>
      </c>
      <c r="M518" s="45">
        <f>F518 * G518 * 226.73336</f>
        <v>2584.7603039999999</v>
      </c>
      <c r="N518" s="46">
        <f>SUM(H518:M518)</f>
        <v>30521.614884599996</v>
      </c>
      <c r="O518" s="93">
        <f t="shared" ref="O518:O519" si="202">N518*1.07*1.09*1.05</f>
        <v>37377.22741190443</v>
      </c>
      <c r="P518" s="33">
        <f t="shared" ref="P518:P519" si="203">IF($P$9&gt;0,O518/$P$9/12,0)</f>
        <v>0.58758139049085756</v>
      </c>
    </row>
    <row r="519" spans="2:16" ht="45" x14ac:dyDescent="0.25">
      <c r="B519" s="26">
        <v>301</v>
      </c>
      <c r="C519" s="27" t="s">
        <v>1103</v>
      </c>
      <c r="D519" s="28" t="s">
        <v>1104</v>
      </c>
      <c r="E519" s="28" t="s">
        <v>1102</v>
      </c>
      <c r="F519" s="29">
        <v>0.45</v>
      </c>
      <c r="G519" s="30">
        <v>2</v>
      </c>
      <c r="H519" s="45">
        <f>F519 * G519 * 807.737595</f>
        <v>726.96383550000007</v>
      </c>
      <c r="I519" s="45">
        <f>F519 * G519 * 535.68</f>
        <v>482.11199999999997</v>
      </c>
      <c r="J519" s="45">
        <f>F519 * G519 * 0</f>
        <v>0</v>
      </c>
      <c r="K519" s="45">
        <f>F519 * G519 * 768.966191</f>
        <v>692.06957190000003</v>
      </c>
      <c r="L519" s="45">
        <f>F519 * G519 * 221.800298</f>
        <v>199.6202682</v>
      </c>
      <c r="M519" s="45">
        <f>F519 * G519 * 161.547519</f>
        <v>145.39276709999999</v>
      </c>
      <c r="N519" s="46">
        <f>SUM(H519:M519)</f>
        <v>2246.1584427000003</v>
      </c>
      <c r="O519" s="93">
        <f t="shared" si="202"/>
        <v>2750.6793213070609</v>
      </c>
      <c r="P519" s="33">
        <f t="shared" si="203"/>
        <v>4.3241516086698434E-2</v>
      </c>
    </row>
    <row r="520" spans="2:16" ht="13.9" customHeight="1" x14ac:dyDescent="0.25">
      <c r="B520" s="97" t="s">
        <v>371</v>
      </c>
      <c r="C520" s="97"/>
      <c r="D520" s="97"/>
      <c r="E520" s="97"/>
      <c r="F520" s="97"/>
      <c r="G520" s="97"/>
      <c r="H520" s="47">
        <f t="shared" ref="H520:P520" si="204">SUM(H516:H519)</f>
        <v>13650.765355499998</v>
      </c>
      <c r="I520" s="47">
        <f t="shared" si="204"/>
        <v>537.072768</v>
      </c>
      <c r="J520" s="47">
        <f t="shared" si="204"/>
        <v>0</v>
      </c>
      <c r="K520" s="47">
        <f t="shared" si="204"/>
        <v>12995.528623499999</v>
      </c>
      <c r="L520" s="47">
        <f t="shared" si="204"/>
        <v>2854.2535091999994</v>
      </c>
      <c r="M520" s="47">
        <f t="shared" si="204"/>
        <v>2730.1530711</v>
      </c>
      <c r="N520" s="47">
        <f t="shared" si="204"/>
        <v>32767.773327299998</v>
      </c>
      <c r="O520" s="47">
        <f t="shared" si="204"/>
        <v>40127.906733211494</v>
      </c>
      <c r="P520" s="48">
        <f t="shared" si="204"/>
        <v>0.63082290657755602</v>
      </c>
    </row>
    <row r="521" spans="2:16" x14ac:dyDescent="0.25">
      <c r="B521" s="98" t="s">
        <v>1105</v>
      </c>
      <c r="C521" s="98"/>
      <c r="D521" s="18"/>
      <c r="E521" s="18"/>
      <c r="F521" s="18"/>
      <c r="G521" s="18"/>
      <c r="H521" s="54"/>
      <c r="I521" s="54"/>
      <c r="J521" s="54"/>
      <c r="K521" s="54"/>
      <c r="L521" s="54"/>
      <c r="M521" s="55"/>
      <c r="N521" s="55"/>
      <c r="O521" s="55"/>
      <c r="P521" s="56"/>
    </row>
    <row r="522" spans="2:16" x14ac:dyDescent="0.25">
      <c r="B522" s="23"/>
      <c r="C522" s="24"/>
      <c r="D522" s="25"/>
      <c r="E522" s="25"/>
      <c r="F522" s="25"/>
      <c r="G522" s="25"/>
      <c r="H522" s="57"/>
      <c r="I522" s="57"/>
      <c r="J522" s="57"/>
      <c r="K522" s="57"/>
      <c r="L522" s="57"/>
      <c r="M522" s="57"/>
      <c r="N522" s="57"/>
      <c r="O522" s="57"/>
      <c r="P522" s="57"/>
    </row>
    <row r="523" spans="2:16" x14ac:dyDescent="0.25">
      <c r="B523" s="26">
        <v>302</v>
      </c>
      <c r="C523" s="27"/>
      <c r="D523" s="28" t="s">
        <v>1106</v>
      </c>
      <c r="E523" s="28"/>
      <c r="F523" s="29"/>
      <c r="G523" s="58"/>
      <c r="H523" s="31">
        <f>P532*12*$P$9</f>
        <v>4452.84</v>
      </c>
      <c r="I523" s="31">
        <f>F523 * G523 * 89375.08344</f>
        <v>0</v>
      </c>
      <c r="J523" s="31">
        <f>F523 * G523 * 0</f>
        <v>0</v>
      </c>
      <c r="K523" s="31">
        <f>F523 * G523 * 538.384453</f>
        <v>0</v>
      </c>
      <c r="L523" s="31">
        <f>F523 * G523 * 9500.294767</f>
        <v>0</v>
      </c>
      <c r="M523" s="31">
        <f>F523 * G523 * 113.105978</f>
        <v>0</v>
      </c>
      <c r="N523" s="32">
        <f>SUM(H523:M523)/12</f>
        <v>371.07</v>
      </c>
      <c r="O523" s="92">
        <f t="shared" ref="O523:O525" si="205">N523*1.07*1.09*1.05</f>
        <v>454.4178880500001</v>
      </c>
      <c r="P523" s="59">
        <f t="shared" ref="P523:P525" si="206">IF($P$9&gt;0,O523/$P$9/12,0)</f>
        <v>7.1435875000000022E-3</v>
      </c>
    </row>
    <row r="524" spans="2:16" x14ac:dyDescent="0.25">
      <c r="B524" s="26">
        <v>303</v>
      </c>
      <c r="C524" s="27"/>
      <c r="D524" s="28" t="s">
        <v>1107</v>
      </c>
      <c r="E524" s="28"/>
      <c r="F524" s="29"/>
      <c r="G524" s="58"/>
      <c r="H524" s="31">
        <f>P533*12*$P$9</f>
        <v>76334.399999999994</v>
      </c>
      <c r="I524" s="31">
        <f>F524 * G524 * 22761.733198</f>
        <v>0</v>
      </c>
      <c r="J524" s="31">
        <f>F524 * G524 * 0</f>
        <v>0</v>
      </c>
      <c r="K524" s="31">
        <f>F524 * G524 * 14191.989123</f>
        <v>0</v>
      </c>
      <c r="L524" s="31">
        <f>F524 * G524 * 5445.433762</f>
        <v>0</v>
      </c>
      <c r="M524" s="31">
        <f>F524 * G524 * 2981.51032</f>
        <v>0</v>
      </c>
      <c r="N524" s="32">
        <f>SUM(H524:M524)/12</f>
        <v>6361.2</v>
      </c>
      <c r="O524" s="92">
        <f t="shared" si="205"/>
        <v>7790.0209380000015</v>
      </c>
      <c r="P524" s="59">
        <f t="shared" si="206"/>
        <v>0.12246150000000001</v>
      </c>
    </row>
    <row r="525" spans="2:16" x14ac:dyDescent="0.25">
      <c r="B525" s="26">
        <v>304</v>
      </c>
      <c r="C525" s="27"/>
      <c r="D525" s="28" t="s">
        <v>1108</v>
      </c>
      <c r="E525" s="28"/>
      <c r="F525" s="29"/>
      <c r="G525" s="58"/>
      <c r="H525" s="31">
        <f>P534*12*$P$9</f>
        <v>30533.759999999998</v>
      </c>
      <c r="I525" s="31"/>
      <c r="J525" s="31"/>
      <c r="K525" s="31"/>
      <c r="L525" s="31"/>
      <c r="M525" s="31"/>
      <c r="N525" s="32">
        <f>SUM(H525:M525)/12</f>
        <v>2544.48</v>
      </c>
      <c r="O525" s="92">
        <f t="shared" si="205"/>
        <v>3116.0083752000005</v>
      </c>
      <c r="P525" s="59">
        <f t="shared" si="206"/>
        <v>4.898460000000001E-2</v>
      </c>
    </row>
    <row r="526" spans="2:16" ht="13.9" customHeight="1" x14ac:dyDescent="0.25">
      <c r="B526" s="97" t="s">
        <v>371</v>
      </c>
      <c r="C526" s="97"/>
      <c r="D526" s="38"/>
      <c r="E526" s="38"/>
      <c r="F526" s="38"/>
      <c r="G526" s="38"/>
      <c r="H526" s="39">
        <f t="shared" ref="H526:P526" si="207">SUM(H523:H525)</f>
        <v>111320.99999999999</v>
      </c>
      <c r="I526" s="39">
        <f t="shared" si="207"/>
        <v>0</v>
      </c>
      <c r="J526" s="39">
        <f t="shared" si="207"/>
        <v>0</v>
      </c>
      <c r="K526" s="39">
        <f t="shared" si="207"/>
        <v>0</v>
      </c>
      <c r="L526" s="39">
        <f t="shared" si="207"/>
        <v>0</v>
      </c>
      <c r="M526" s="39">
        <f t="shared" si="207"/>
        <v>0</v>
      </c>
      <c r="N526" s="39">
        <f t="shared" si="207"/>
        <v>9276.75</v>
      </c>
      <c r="O526" s="39">
        <f t="shared" si="207"/>
        <v>11360.447201250003</v>
      </c>
      <c r="P526" s="40">
        <f t="shared" si="207"/>
        <v>0.17858968750000004</v>
      </c>
    </row>
    <row r="527" spans="2:16" x14ac:dyDescent="0.25">
      <c r="B527" s="60" t="s">
        <v>1109</v>
      </c>
      <c r="C527" s="60"/>
      <c r="D527" s="60"/>
      <c r="E527" s="60"/>
      <c r="F527" s="60"/>
      <c r="G527" s="60"/>
      <c r="H527" s="61"/>
      <c r="I527" s="61"/>
      <c r="J527" s="61"/>
      <c r="K527" s="61"/>
      <c r="L527" s="61"/>
      <c r="M527" s="55"/>
      <c r="N527" s="55"/>
      <c r="O527" s="55"/>
      <c r="P527" s="56"/>
    </row>
    <row r="528" spans="2:16" x14ac:dyDescent="0.25">
      <c r="B528" s="23"/>
      <c r="C528" s="24"/>
      <c r="D528" s="25"/>
      <c r="E528" s="25"/>
      <c r="F528" s="25"/>
      <c r="G528" s="25"/>
      <c r="H528" s="57"/>
      <c r="I528" s="57"/>
      <c r="J528" s="57"/>
      <c r="K528" s="57"/>
      <c r="L528" s="57"/>
      <c r="M528" s="57"/>
      <c r="N528" s="57"/>
      <c r="O528" s="57"/>
      <c r="P528" s="57"/>
    </row>
    <row r="529" spans="2:16" x14ac:dyDescent="0.25">
      <c r="B529" s="26">
        <v>305</v>
      </c>
      <c r="C529" s="27"/>
      <c r="D529" s="28" t="s">
        <v>1109</v>
      </c>
      <c r="E529" s="28"/>
      <c r="F529" s="29"/>
      <c r="G529" s="58"/>
      <c r="H529" s="31">
        <f>5.4*12*P9</f>
        <v>343504.80000000005</v>
      </c>
      <c r="I529" s="31">
        <f>F529 * G529 * 89375.08344</f>
        <v>0</v>
      </c>
      <c r="J529" s="31">
        <f>F529 * G529 * 0</f>
        <v>0</v>
      </c>
      <c r="K529" s="31">
        <f>F529 * G529 * 538.384453</f>
        <v>0</v>
      </c>
      <c r="L529" s="31">
        <f>F529 * G529 * 9500.294767</f>
        <v>0</v>
      </c>
      <c r="M529" s="31">
        <f>F529 * G529 * 113.105978</f>
        <v>0</v>
      </c>
      <c r="N529" s="32">
        <f>SUM(H529:M529)</f>
        <v>343504.80000000005</v>
      </c>
      <c r="O529" s="92">
        <f t="shared" ref="O529" si="208">N529*1.07*1.09*1.05</f>
        <v>420661.13065200008</v>
      </c>
      <c r="P529" s="59">
        <f>IF($P$9&gt;0,N529/$P$9/12,0)</f>
        <v>5.4000000000000012</v>
      </c>
    </row>
    <row r="530" spans="2:16" ht="13.9" customHeight="1" x14ac:dyDescent="0.25">
      <c r="B530" s="97" t="s">
        <v>371</v>
      </c>
      <c r="C530" s="97"/>
      <c r="D530" s="38"/>
      <c r="E530" s="38"/>
      <c r="F530" s="38"/>
      <c r="G530" s="38"/>
      <c r="H530" s="39"/>
      <c r="I530" s="39">
        <f t="shared" ref="I530:P530" si="209">SUM(I529)</f>
        <v>0</v>
      </c>
      <c r="J530" s="39">
        <f t="shared" si="209"/>
        <v>0</v>
      </c>
      <c r="K530" s="39">
        <f t="shared" si="209"/>
        <v>0</v>
      </c>
      <c r="L530" s="39">
        <f t="shared" si="209"/>
        <v>0</v>
      </c>
      <c r="M530" s="39">
        <f t="shared" si="209"/>
        <v>0</v>
      </c>
      <c r="N530" s="39">
        <f t="shared" si="209"/>
        <v>343504.80000000005</v>
      </c>
      <c r="O530" s="39">
        <f t="shared" si="209"/>
        <v>420661.13065200008</v>
      </c>
      <c r="P530" s="40">
        <f t="shared" si="209"/>
        <v>5.4000000000000012</v>
      </c>
    </row>
    <row r="531" spans="2:16" s="1" customFormat="1" hidden="1" x14ac:dyDescent="0.25">
      <c r="B531" s="62" t="s">
        <v>1110</v>
      </c>
      <c r="D531" s="63"/>
      <c r="E531" s="64"/>
      <c r="F531" s="65"/>
      <c r="G531" s="66"/>
      <c r="H531" s="67"/>
      <c r="I531" s="67"/>
      <c r="J531" s="67"/>
      <c r="K531" s="67"/>
      <c r="L531" s="67"/>
      <c r="M531" s="67"/>
      <c r="N531" s="67"/>
      <c r="O531" s="67"/>
      <c r="P531" s="67"/>
    </row>
    <row r="532" spans="2:16" hidden="1" x14ac:dyDescent="0.25">
      <c r="B532" s="68"/>
      <c r="C532" s="69" t="s">
        <v>1111</v>
      </c>
      <c r="D532" s="63"/>
      <c r="E532" s="64"/>
      <c r="F532" s="65"/>
      <c r="G532" s="66"/>
      <c r="H532" s="67"/>
      <c r="I532" s="67"/>
      <c r="J532" s="67"/>
      <c r="K532" s="67"/>
      <c r="L532" s="67"/>
      <c r="M532" s="67"/>
      <c r="N532" s="67"/>
      <c r="O532" s="67"/>
      <c r="P532" s="67">
        <v>7.0000000000000007E-2</v>
      </c>
    </row>
    <row r="533" spans="2:16" hidden="1" x14ac:dyDescent="0.25">
      <c r="B533" s="70"/>
      <c r="C533" s="71" t="s">
        <v>1112</v>
      </c>
      <c r="D533" s="72"/>
      <c r="E533" s="73"/>
      <c r="F533" s="74"/>
      <c r="G533" s="75"/>
      <c r="H533" s="76"/>
      <c r="I533" s="76"/>
      <c r="J533" s="76"/>
      <c r="K533" s="76"/>
      <c r="L533" s="76"/>
      <c r="M533" s="76"/>
      <c r="N533" s="76"/>
      <c r="O533" s="76"/>
      <c r="P533" s="76">
        <v>1.2</v>
      </c>
    </row>
    <row r="534" spans="2:16" hidden="1" x14ac:dyDescent="0.25">
      <c r="B534" s="70"/>
      <c r="C534" s="69" t="s">
        <v>1113</v>
      </c>
      <c r="D534" s="72"/>
      <c r="E534" s="73"/>
      <c r="F534" s="74"/>
      <c r="G534" s="75"/>
      <c r="H534" s="76"/>
      <c r="I534" s="76"/>
      <c r="J534" s="76"/>
      <c r="K534" s="76"/>
      <c r="L534" s="76"/>
      <c r="M534" s="76"/>
      <c r="N534" s="76"/>
      <c r="O534" s="76"/>
      <c r="P534" s="76">
        <v>0.48</v>
      </c>
    </row>
    <row r="535" spans="2:16" x14ac:dyDescent="0.25">
      <c r="B535" s="77" t="s">
        <v>1114</v>
      </c>
      <c r="C535" s="78"/>
      <c r="D535" s="78"/>
      <c r="E535" s="79"/>
      <c r="F535" s="80"/>
      <c r="G535" s="81"/>
      <c r="H535" s="82">
        <f>H157+H199+H308+H391+H430+H438+H452+H462+H483+H503+H513+H520+H526+H530</f>
        <v>2006765.324622964</v>
      </c>
      <c r="I535" s="82">
        <f t="shared" ref="I535:P535" si="210">I157+I199+I308+I391+I430+I438+I452+I462+I483+I503+I513+I520+I526+I530</f>
        <v>454656.00423191744</v>
      </c>
      <c r="J535" s="82">
        <f t="shared" si="210"/>
        <v>14677.662649468</v>
      </c>
      <c r="K535" s="82">
        <f t="shared" si="210"/>
        <v>1004955.1146767368</v>
      </c>
      <c r="L535" s="82">
        <f t="shared" si="210"/>
        <v>265488.17421453324</v>
      </c>
      <c r="M535" s="82">
        <f t="shared" si="210"/>
        <v>211125.02437302895</v>
      </c>
      <c r="N535" s="82">
        <f t="shared" si="210"/>
        <v>4503733.5484375982</v>
      </c>
      <c r="O535" s="82">
        <f t="shared" si="210"/>
        <v>5515339.6594199101</v>
      </c>
      <c r="P535" s="82">
        <f t="shared" si="210"/>
        <v>85.489897012637698</v>
      </c>
    </row>
    <row r="538" spans="2:16" x14ac:dyDescent="0.25">
      <c r="D538" s="88" t="s">
        <v>1115</v>
      </c>
      <c r="E538" s="85" t="s">
        <v>1116</v>
      </c>
      <c r="F538" s="85"/>
      <c r="G538" s="86"/>
      <c r="H538" s="89"/>
      <c r="I538" s="89"/>
      <c r="J538" s="86" t="s">
        <v>1122</v>
      </c>
      <c r="K538" s="86"/>
    </row>
    <row r="539" spans="2:16" x14ac:dyDescent="0.25">
      <c r="D539" s="85"/>
      <c r="E539" s="85"/>
      <c r="F539" s="85"/>
      <c r="G539" s="86"/>
      <c r="H539" s="99" t="s">
        <v>1117</v>
      </c>
      <c r="I539" s="99"/>
      <c r="J539" s="86"/>
      <c r="K539" s="86"/>
    </row>
    <row r="540" spans="2:16" x14ac:dyDescent="0.25">
      <c r="D540" s="85"/>
      <c r="E540" s="85"/>
      <c r="F540" s="85"/>
      <c r="G540" s="86"/>
      <c r="H540" s="86"/>
      <c r="I540" s="86"/>
      <c r="J540" s="86"/>
      <c r="K540" s="86"/>
    </row>
    <row r="541" spans="2:16" x14ac:dyDescent="0.25">
      <c r="D541" s="85"/>
      <c r="E541" s="85"/>
      <c r="F541" s="85"/>
      <c r="G541" s="86"/>
      <c r="H541" s="86"/>
      <c r="I541" s="86"/>
      <c r="J541" s="86"/>
      <c r="K541" s="86"/>
    </row>
    <row r="542" spans="2:16" x14ac:dyDescent="0.25">
      <c r="D542" s="85"/>
      <c r="E542" s="85" t="s">
        <v>1118</v>
      </c>
      <c r="F542" s="85"/>
      <c r="G542" s="86"/>
      <c r="H542" s="89"/>
      <c r="I542" s="89"/>
      <c r="J542" s="86" t="s">
        <v>1119</v>
      </c>
      <c r="K542" s="86"/>
    </row>
    <row r="543" spans="2:16" x14ac:dyDescent="0.25">
      <c r="D543" s="85"/>
      <c r="E543" s="85"/>
      <c r="F543" s="85"/>
      <c r="G543" s="86"/>
      <c r="H543" s="99" t="s">
        <v>1117</v>
      </c>
      <c r="I543" s="99"/>
      <c r="J543" s="86"/>
      <c r="K543" s="86"/>
    </row>
    <row r="544" spans="2:16" x14ac:dyDescent="0.25">
      <c r="D544" s="85"/>
      <c r="E544" s="85"/>
      <c r="F544" s="85"/>
      <c r="G544" s="86"/>
      <c r="H544" s="86"/>
      <c r="I544" s="86"/>
      <c r="J544" s="86"/>
      <c r="K544" s="86"/>
    </row>
    <row r="545" spans="4:11" x14ac:dyDescent="0.25">
      <c r="D545" s="85"/>
      <c r="E545" s="85"/>
      <c r="F545" s="85"/>
      <c r="G545" s="86"/>
      <c r="H545" s="86"/>
      <c r="I545" s="86"/>
      <c r="J545" s="86"/>
      <c r="K545" s="86"/>
    </row>
    <row r="546" spans="4:11" x14ac:dyDescent="0.25">
      <c r="D546" s="85" t="s">
        <v>1120</v>
      </c>
      <c r="E546" s="85"/>
      <c r="F546" s="85"/>
      <c r="G546" s="86"/>
      <c r="H546" s="86"/>
      <c r="I546" s="86"/>
      <c r="J546" s="86"/>
      <c r="K546" s="86"/>
    </row>
    <row r="547" spans="4:11" x14ac:dyDescent="0.25">
      <c r="D547" s="90" t="s">
        <v>1123</v>
      </c>
      <c r="E547" s="85"/>
      <c r="F547" s="85"/>
      <c r="G547" s="86"/>
      <c r="H547" s="86"/>
      <c r="I547" s="86"/>
      <c r="J547" s="86"/>
      <c r="K547" s="86"/>
    </row>
  </sheetData>
  <mergeCells count="230">
    <mergeCell ref="D5:E5"/>
    <mergeCell ref="B8:L9"/>
    <mergeCell ref="M8:N8"/>
    <mergeCell ref="M9:N9"/>
    <mergeCell ref="D10:P10"/>
    <mergeCell ref="D17:P17"/>
    <mergeCell ref="D18:P18"/>
    <mergeCell ref="D19:P19"/>
    <mergeCell ref="D21:P21"/>
    <mergeCell ref="D24:P24"/>
    <mergeCell ref="D26:P26"/>
    <mergeCell ref="D29:P29"/>
    <mergeCell ref="D31:P31"/>
    <mergeCell ref="D32:P32"/>
    <mergeCell ref="D35:P35"/>
    <mergeCell ref="D36:P36"/>
    <mergeCell ref="D38:P38"/>
    <mergeCell ref="D39:P39"/>
    <mergeCell ref="D41:P41"/>
    <mergeCell ref="D47:P47"/>
    <mergeCell ref="D48:P48"/>
    <mergeCell ref="D49:P49"/>
    <mergeCell ref="D51:P51"/>
    <mergeCell ref="D52:P52"/>
    <mergeCell ref="D54:P54"/>
    <mergeCell ref="D55:P55"/>
    <mergeCell ref="D57:P57"/>
    <mergeCell ref="D60:P60"/>
    <mergeCell ref="D61:P61"/>
    <mergeCell ref="D64:P64"/>
    <mergeCell ref="D66:P66"/>
    <mergeCell ref="D68:P68"/>
    <mergeCell ref="D69:P69"/>
    <mergeCell ref="D70:P70"/>
    <mergeCell ref="D72:P72"/>
    <mergeCell ref="D73:P73"/>
    <mergeCell ref="D76:P76"/>
    <mergeCell ref="D80:P80"/>
    <mergeCell ref="D82:P82"/>
    <mergeCell ref="D85:P85"/>
    <mergeCell ref="D88:P88"/>
    <mergeCell ref="D91:P91"/>
    <mergeCell ref="D95:P95"/>
    <mergeCell ref="D97:P97"/>
    <mergeCell ref="D98:P98"/>
    <mergeCell ref="D107:P107"/>
    <mergeCell ref="D115:P115"/>
    <mergeCell ref="D116:P116"/>
    <mergeCell ref="D118:P118"/>
    <mergeCell ref="D120:P120"/>
    <mergeCell ref="D121:P121"/>
    <mergeCell ref="D124:P124"/>
    <mergeCell ref="D126:P126"/>
    <mergeCell ref="D128:P128"/>
    <mergeCell ref="D132:P132"/>
    <mergeCell ref="D133:P133"/>
    <mergeCell ref="D135:P135"/>
    <mergeCell ref="D139:P139"/>
    <mergeCell ref="D145:P145"/>
    <mergeCell ref="D147:P147"/>
    <mergeCell ref="D148:P148"/>
    <mergeCell ref="D153:P153"/>
    <mergeCell ref="D155:P155"/>
    <mergeCell ref="B157:G157"/>
    <mergeCell ref="B158:L159"/>
    <mergeCell ref="M158:N158"/>
    <mergeCell ref="M159:N159"/>
    <mergeCell ref="D160:P160"/>
    <mergeCell ref="D161:P161"/>
    <mergeCell ref="D167:P167"/>
    <mergeCell ref="D168:P168"/>
    <mergeCell ref="D174:P174"/>
    <mergeCell ref="D177:P177"/>
    <mergeCell ref="D180:P180"/>
    <mergeCell ref="D182:P182"/>
    <mergeCell ref="D185:P185"/>
    <mergeCell ref="D193:P193"/>
    <mergeCell ref="D194:P194"/>
    <mergeCell ref="B199:G199"/>
    <mergeCell ref="B200:L201"/>
    <mergeCell ref="M200:N200"/>
    <mergeCell ref="M201:N201"/>
    <mergeCell ref="D202:P202"/>
    <mergeCell ref="D203:P203"/>
    <mergeCell ref="D204:P204"/>
    <mergeCell ref="D210:P210"/>
    <mergeCell ref="D214:P214"/>
    <mergeCell ref="D218:P218"/>
    <mergeCell ref="D222:P222"/>
    <mergeCell ref="D229:P229"/>
    <mergeCell ref="D230:P230"/>
    <mergeCell ref="D232:P232"/>
    <mergeCell ref="D235:P235"/>
    <mergeCell ref="D236:P236"/>
    <mergeCell ref="D238:P238"/>
    <mergeCell ref="D241:P241"/>
    <mergeCell ref="D243:P243"/>
    <mergeCell ref="D245:P245"/>
    <mergeCell ref="D248:P248"/>
    <mergeCell ref="D249:P249"/>
    <mergeCell ref="D251:P251"/>
    <mergeCell ref="D257:P257"/>
    <mergeCell ref="D258:P258"/>
    <mergeCell ref="D263:P263"/>
    <mergeCell ref="D266:P266"/>
    <mergeCell ref="D267:P267"/>
    <mergeCell ref="D272:P272"/>
    <mergeCell ref="D275:P275"/>
    <mergeCell ref="D277:P277"/>
    <mergeCell ref="D280:P280"/>
    <mergeCell ref="D281:P281"/>
    <mergeCell ref="D286:P286"/>
    <mergeCell ref="D287:P287"/>
    <mergeCell ref="D296:P296"/>
    <mergeCell ref="D305:P305"/>
    <mergeCell ref="D306:P306"/>
    <mergeCell ref="B308:G308"/>
    <mergeCell ref="B309:L310"/>
    <mergeCell ref="M309:N309"/>
    <mergeCell ref="M310:N310"/>
    <mergeCell ref="D311:P311"/>
    <mergeCell ref="D312:P312"/>
    <mergeCell ref="D313:P313"/>
    <mergeCell ref="D319:P319"/>
    <mergeCell ref="D323:P323"/>
    <mergeCell ref="D324:P324"/>
    <mergeCell ref="D328:P328"/>
    <mergeCell ref="D331:P331"/>
    <mergeCell ref="D334:P334"/>
    <mergeCell ref="D335:P335"/>
    <mergeCell ref="D337:P337"/>
    <mergeCell ref="D339:P339"/>
    <mergeCell ref="D342:P342"/>
    <mergeCell ref="D344:P344"/>
    <mergeCell ref="D348:P348"/>
    <mergeCell ref="D352:P352"/>
    <mergeCell ref="D354:P354"/>
    <mergeCell ref="D356:P356"/>
    <mergeCell ref="D358:P358"/>
    <mergeCell ref="D359:P359"/>
    <mergeCell ref="D362:P362"/>
    <mergeCell ref="D366:P366"/>
    <mergeCell ref="D367:P367"/>
    <mergeCell ref="D368:P368"/>
    <mergeCell ref="D370:P370"/>
    <mergeCell ref="D378:P378"/>
    <mergeCell ref="D381:P381"/>
    <mergeCell ref="D382:P382"/>
    <mergeCell ref="D386:P386"/>
    <mergeCell ref="B391:G391"/>
    <mergeCell ref="B392:L393"/>
    <mergeCell ref="M392:N392"/>
    <mergeCell ref="M393:N393"/>
    <mergeCell ref="D394:P394"/>
    <mergeCell ref="D395:P395"/>
    <mergeCell ref="D396:P396"/>
    <mergeCell ref="D399:P399"/>
    <mergeCell ref="D404:P404"/>
    <mergeCell ref="D406:P406"/>
    <mergeCell ref="D412:P412"/>
    <mergeCell ref="D413:P413"/>
    <mergeCell ref="D419:P419"/>
    <mergeCell ref="B430:G430"/>
    <mergeCell ref="B431:L432"/>
    <mergeCell ref="M431:N431"/>
    <mergeCell ref="M432:N432"/>
    <mergeCell ref="D433:P433"/>
    <mergeCell ref="D435:P435"/>
    <mergeCell ref="B438:G438"/>
    <mergeCell ref="B439:L440"/>
    <mergeCell ref="M439:N439"/>
    <mergeCell ref="M440:N440"/>
    <mergeCell ref="D441:P441"/>
    <mergeCell ref="D442:P442"/>
    <mergeCell ref="D443:P443"/>
    <mergeCell ref="D445:P445"/>
    <mergeCell ref="D446:P446"/>
    <mergeCell ref="D448:P448"/>
    <mergeCell ref="D449:P449"/>
    <mergeCell ref="B452:G452"/>
    <mergeCell ref="B453:L454"/>
    <mergeCell ref="M453:N453"/>
    <mergeCell ref="M454:N454"/>
    <mergeCell ref="D455:P455"/>
    <mergeCell ref="D456:P456"/>
    <mergeCell ref="D457:P457"/>
    <mergeCell ref="D460:P460"/>
    <mergeCell ref="B462:G462"/>
    <mergeCell ref="B463:L464"/>
    <mergeCell ref="M463:N463"/>
    <mergeCell ref="M464:N464"/>
    <mergeCell ref="D465:P465"/>
    <mergeCell ref="D466:P466"/>
    <mergeCell ref="D467:P467"/>
    <mergeCell ref="D468:P468"/>
    <mergeCell ref="D471:P471"/>
    <mergeCell ref="D474:P474"/>
    <mergeCell ref="D477:P477"/>
    <mergeCell ref="D480:P480"/>
    <mergeCell ref="B483:G483"/>
    <mergeCell ref="B484:L485"/>
    <mergeCell ref="M484:N484"/>
    <mergeCell ref="M485:N485"/>
    <mergeCell ref="D486:P486"/>
    <mergeCell ref="D487:P487"/>
    <mergeCell ref="D489:P489"/>
    <mergeCell ref="D490:P490"/>
    <mergeCell ref="D494:P494"/>
    <mergeCell ref="D496:P496"/>
    <mergeCell ref="D498:P498"/>
    <mergeCell ref="B503:G503"/>
    <mergeCell ref="B504:L505"/>
    <mergeCell ref="M504:N504"/>
    <mergeCell ref="M505:N505"/>
    <mergeCell ref="D517:P517"/>
    <mergeCell ref="B520:G520"/>
    <mergeCell ref="B521:C521"/>
    <mergeCell ref="B526:C526"/>
    <mergeCell ref="B530:C530"/>
    <mergeCell ref="H539:I539"/>
    <mergeCell ref="H543:I543"/>
    <mergeCell ref="D506:P506"/>
    <mergeCell ref="D507:P507"/>
    <mergeCell ref="D508:P508"/>
    <mergeCell ref="D510:P510"/>
    <mergeCell ref="B513:G513"/>
    <mergeCell ref="B514:L515"/>
    <mergeCell ref="M514:N514"/>
    <mergeCell ref="M515:N515"/>
    <mergeCell ref="D516:P516"/>
  </mergeCells>
  <pageMargins left="0.51180555555555496" right="0.51180555555555496" top="0.3" bottom="0.3" header="0.51180555555555496" footer="0.51180555555555496"/>
  <pageSetup paperSize="9" scale="56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Смета</vt:lpstr>
      <vt:lpstr>Смета!Print_Titles_0</vt:lpstr>
      <vt:lpstr>Смета!Print_Titles_0_0</vt:lpstr>
      <vt:lpstr>Смета!Print_Titles_0_0_0</vt:lpstr>
      <vt:lpstr>Смета!Print_Titles_0_0_0_0</vt:lpstr>
      <vt:lpstr>Смета!Print_Titles_0_0_0_0_0</vt:lpstr>
      <vt:lpstr>Смета!Заголовки_для_печати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Лукина, 17 Техническое обслуживание и ремонт жилого здания</dc:title>
  <dc:subject/>
  <dc:creator/>
  <dc:description/>
  <cp:lastModifiedBy>User</cp:lastModifiedBy>
  <cp:revision>8</cp:revision>
  <cp:lastPrinted>2022-05-12T16:48:57Z</cp:lastPrinted>
  <dcterms:created xsi:type="dcterms:W3CDTF">2022-05-05T07:14:12Z</dcterms:created>
  <dcterms:modified xsi:type="dcterms:W3CDTF">2026-03-04T08:26:18Z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