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uk_avia\Obmen\Общий отдел\Сметы для общих собраний в ГИС ЖКХ\двеннадцатиэтажки\"/>
    </mc:Choice>
  </mc:AlternateContent>
  <xr:revisionPtr revIDLastSave="0" documentId="13_ncr:1_{9F361850-D608-4C5C-AEFA-7670F4F09FD5}" xr6:coauthVersionLast="37" xr6:coauthVersionMax="37" xr10:uidLastSave="{00000000-0000-0000-0000-000000000000}"/>
  <bookViews>
    <workbookView xWindow="0" yWindow="0" windowWidth="28800" windowHeight="12225" tabRatio="500" xr2:uid="{00000000-000D-0000-FFFF-FFFF00000000}"/>
  </bookViews>
  <sheets>
    <sheet name="Смета" sheetId="1" r:id="rId1"/>
  </sheets>
  <definedNames>
    <definedName name="Print_Titles_0" localSheetId="0">Смета!$8:$8</definedName>
    <definedName name="Print_Titles_0_0" localSheetId="0">Смета!$8:$8</definedName>
    <definedName name="Print_Titles_0_0_0" localSheetId="0">Смета!$8:$8</definedName>
    <definedName name="Print_Titles_0_0_0_0" localSheetId="0">Смета!$8:$8</definedName>
    <definedName name="Print_Titles_0_0_0_0_0" localSheetId="0">Смета!$8:$8</definedName>
    <definedName name="_xlnm.Print_Titles" localSheetId="0">Смета!$8:$8</definedName>
  </definedNames>
  <calcPr calcId="179021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P545" i="1" l="1"/>
  <c r="P540" i="1"/>
  <c r="I545" i="1"/>
  <c r="J545" i="1"/>
  <c r="K545" i="1"/>
  <c r="L545" i="1"/>
  <c r="M545" i="1"/>
  <c r="N545" i="1"/>
  <c r="O545" i="1"/>
  <c r="H545" i="1"/>
  <c r="O536" i="1" l="1"/>
  <c r="P513" i="1"/>
  <c r="P506" i="1"/>
  <c r="F506" i="1"/>
  <c r="K506" i="1" s="1"/>
  <c r="N507" i="1"/>
  <c r="O507" i="1" s="1"/>
  <c r="P507" i="1" s="1"/>
  <c r="H505" i="1"/>
  <c r="M505" i="1"/>
  <c r="L505" i="1"/>
  <c r="K505" i="1"/>
  <c r="J505" i="1"/>
  <c r="I505" i="1"/>
  <c r="N505" i="1"/>
  <c r="O505" i="1" s="1"/>
  <c r="P505" i="1" s="1"/>
  <c r="M506" i="1" l="1"/>
  <c r="H506" i="1"/>
  <c r="L506" i="1"/>
  <c r="I506" i="1"/>
  <c r="J506" i="1"/>
  <c r="N506" i="1" l="1"/>
  <c r="O506" i="1" s="1"/>
  <c r="O540" i="1" l="1"/>
  <c r="O530" i="1"/>
  <c r="O523" i="1"/>
  <c r="H539" i="1"/>
  <c r="O535" i="1"/>
  <c r="O534" i="1"/>
  <c r="O533" i="1"/>
  <c r="O529" i="1"/>
  <c r="O528" i="1"/>
  <c r="O522" i="1"/>
  <c r="O521" i="1"/>
  <c r="O519" i="1"/>
  <c r="O512" i="1"/>
  <c r="O511" i="1"/>
  <c r="O510" i="1"/>
  <c r="O509" i="1"/>
  <c r="O504" i="1"/>
  <c r="O502" i="1"/>
  <c r="O500" i="1"/>
  <c r="O499" i="1"/>
  <c r="O498" i="1"/>
  <c r="O495" i="1"/>
  <c r="O489" i="1"/>
  <c r="O488" i="1"/>
  <c r="O486" i="1"/>
  <c r="O485" i="1"/>
  <c r="O483" i="1"/>
  <c r="O482" i="1"/>
  <c r="O480" i="1"/>
  <c r="O479" i="1"/>
  <c r="O477" i="1"/>
  <c r="O476" i="1"/>
  <c r="O468" i="1"/>
  <c r="O466" i="1"/>
  <c r="O465" i="1"/>
  <c r="O458" i="1"/>
  <c r="O457" i="1"/>
  <c r="O454" i="1"/>
  <c r="O451" i="1"/>
  <c r="O444" i="1"/>
  <c r="O443" i="1"/>
  <c r="O441" i="1"/>
  <c r="P441" i="1"/>
  <c r="P412" i="1"/>
  <c r="P376" i="1"/>
  <c r="P364" i="1"/>
  <c r="P362" i="1"/>
  <c r="P360" i="1"/>
  <c r="P350" i="1"/>
  <c r="P345" i="1"/>
  <c r="P343" i="1"/>
  <c r="P314" i="1"/>
  <c r="P283" i="1"/>
  <c r="P257" i="1"/>
  <c r="P251" i="1"/>
  <c r="P249" i="1"/>
  <c r="P244" i="1"/>
  <c r="P238" i="1"/>
  <c r="P188" i="1"/>
  <c r="P163" i="1"/>
  <c r="P161" i="1"/>
  <c r="P153" i="1"/>
  <c r="P140" i="1"/>
  <c r="P133" i="1"/>
  <c r="P131" i="1"/>
  <c r="P125" i="1"/>
  <c r="P123" i="1"/>
  <c r="P102" i="1"/>
  <c r="P87" i="1"/>
  <c r="P77" i="1"/>
  <c r="P73" i="1"/>
  <c r="P71" i="1"/>
  <c r="P62" i="1"/>
  <c r="P59" i="1"/>
  <c r="P49" i="1"/>
  <c r="P46" i="1"/>
  <c r="P43" i="1"/>
  <c r="P38" i="1"/>
  <c r="P35" i="1"/>
  <c r="P33" i="1"/>
  <c r="P26" i="1"/>
  <c r="P24" i="1"/>
  <c r="P22" i="1"/>
  <c r="O425" i="1"/>
  <c r="P425" i="1" s="1"/>
  <c r="O424" i="1"/>
  <c r="P424" i="1" s="1"/>
  <c r="O423" i="1"/>
  <c r="P423" i="1" s="1"/>
  <c r="O422" i="1"/>
  <c r="P422" i="1" s="1"/>
  <c r="O421" i="1"/>
  <c r="P421" i="1" s="1"/>
  <c r="O418" i="1"/>
  <c r="P418" i="1" s="1"/>
  <c r="O417" i="1"/>
  <c r="P417" i="1" s="1"/>
  <c r="O416" i="1"/>
  <c r="P416" i="1" s="1"/>
  <c r="O415" i="1"/>
  <c r="P415" i="1" s="1"/>
  <c r="O414" i="1"/>
  <c r="P414" i="1" s="1"/>
  <c r="O412" i="1"/>
  <c r="O410" i="1"/>
  <c r="P410" i="1" s="1"/>
  <c r="O409" i="1"/>
  <c r="P409" i="1" s="1"/>
  <c r="O408" i="1"/>
  <c r="O407" i="1"/>
  <c r="P407" i="1" s="1"/>
  <c r="O405" i="1"/>
  <c r="P405" i="1" s="1"/>
  <c r="O404" i="1"/>
  <c r="P404" i="1" s="1"/>
  <c r="O397" i="1"/>
  <c r="P397" i="1" s="1"/>
  <c r="O396" i="1"/>
  <c r="P396" i="1" s="1"/>
  <c r="O395" i="1"/>
  <c r="P395" i="1" s="1"/>
  <c r="O394" i="1"/>
  <c r="P394" i="1" s="1"/>
  <c r="O392" i="1"/>
  <c r="P392" i="1" s="1"/>
  <c r="O391" i="1"/>
  <c r="P391" i="1" s="1"/>
  <c r="O390" i="1"/>
  <c r="P390" i="1" s="1"/>
  <c r="O387" i="1"/>
  <c r="P387" i="1" s="1"/>
  <c r="O386" i="1"/>
  <c r="P386" i="1" s="1"/>
  <c r="O376" i="1"/>
  <c r="O372" i="1"/>
  <c r="P372" i="1" s="1"/>
  <c r="O371" i="1"/>
  <c r="P371" i="1" s="1"/>
  <c r="O370" i="1"/>
  <c r="P370" i="1" s="1"/>
  <c r="O368" i="1"/>
  <c r="P368" i="1" s="1"/>
  <c r="O367" i="1"/>
  <c r="P367" i="1" s="1"/>
  <c r="O364" i="1"/>
  <c r="O362" i="1"/>
  <c r="O360" i="1"/>
  <c r="O358" i="1"/>
  <c r="P358" i="1" s="1"/>
  <c r="O357" i="1"/>
  <c r="P357" i="1" s="1"/>
  <c r="O356" i="1"/>
  <c r="P356" i="1" s="1"/>
  <c r="O354" i="1"/>
  <c r="P354" i="1" s="1"/>
  <c r="O353" i="1"/>
  <c r="P353" i="1" s="1"/>
  <c r="O352" i="1"/>
  <c r="P352" i="1" s="1"/>
  <c r="O350" i="1"/>
  <c r="O348" i="1"/>
  <c r="P348" i="1" s="1"/>
  <c r="O347" i="1"/>
  <c r="P347" i="1" s="1"/>
  <c r="O345" i="1"/>
  <c r="O343" i="1"/>
  <c r="O340" i="1"/>
  <c r="P340" i="1" s="1"/>
  <c r="O339" i="1"/>
  <c r="P339" i="1" s="1"/>
  <c r="O337" i="1"/>
  <c r="P337" i="1" s="1"/>
  <c r="O336" i="1"/>
  <c r="P336" i="1" s="1"/>
  <c r="O334" i="1"/>
  <c r="P334" i="1" s="1"/>
  <c r="O333" i="1"/>
  <c r="P333" i="1" s="1"/>
  <c r="O332" i="1"/>
  <c r="P332" i="1" s="1"/>
  <c r="O329" i="1"/>
  <c r="P329" i="1" s="1"/>
  <c r="O328" i="1"/>
  <c r="P328" i="1" s="1"/>
  <c r="O327" i="1"/>
  <c r="P327" i="1" s="1"/>
  <c r="O325" i="1"/>
  <c r="P325" i="1" s="1"/>
  <c r="O324" i="1"/>
  <c r="P324" i="1" s="1"/>
  <c r="O323" i="1"/>
  <c r="P323" i="1" s="1"/>
  <c r="O322" i="1"/>
  <c r="P322" i="1" s="1"/>
  <c r="O321" i="1"/>
  <c r="O314" i="1"/>
  <c r="O292" i="1"/>
  <c r="P292" i="1" s="1"/>
  <c r="O291" i="1"/>
  <c r="P291" i="1" s="1"/>
  <c r="O290" i="1"/>
  <c r="P290" i="1" s="1"/>
  <c r="O289" i="1"/>
  <c r="P289" i="1" s="1"/>
  <c r="O286" i="1"/>
  <c r="P286" i="1" s="1"/>
  <c r="O285" i="1"/>
  <c r="P285" i="1" s="1"/>
  <c r="O283" i="1"/>
  <c r="O281" i="1"/>
  <c r="P281" i="1" s="1"/>
  <c r="O280" i="1"/>
  <c r="P280" i="1" s="1"/>
  <c r="O278" i="1"/>
  <c r="P278" i="1" s="1"/>
  <c r="O277" i="1"/>
  <c r="P277" i="1" s="1"/>
  <c r="O276" i="1"/>
  <c r="P276" i="1" s="1"/>
  <c r="O275" i="1"/>
  <c r="P275" i="1" s="1"/>
  <c r="O272" i="1"/>
  <c r="P272" i="1" s="1"/>
  <c r="O271" i="1"/>
  <c r="P271" i="1" s="1"/>
  <c r="O269" i="1"/>
  <c r="P269" i="1" s="1"/>
  <c r="O268" i="1"/>
  <c r="P268" i="1" s="1"/>
  <c r="O267" i="1"/>
  <c r="P267" i="1" s="1"/>
  <c r="O266" i="1"/>
  <c r="P266" i="1" s="1"/>
  <c r="O263" i="1"/>
  <c r="P263" i="1" s="1"/>
  <c r="O262" i="1"/>
  <c r="P262" i="1" s="1"/>
  <c r="O261" i="1"/>
  <c r="P261" i="1" s="1"/>
  <c r="O260" i="1"/>
  <c r="P260" i="1" s="1"/>
  <c r="O259" i="1"/>
  <c r="P259" i="1" s="1"/>
  <c r="O257" i="1"/>
  <c r="O254" i="1"/>
  <c r="P254" i="1" s="1"/>
  <c r="O253" i="1"/>
  <c r="P253" i="1" s="1"/>
  <c r="O251" i="1"/>
  <c r="O249" i="1"/>
  <c r="O247" i="1"/>
  <c r="P247" i="1" s="1"/>
  <c r="O246" i="1"/>
  <c r="P246" i="1" s="1"/>
  <c r="O244" i="1"/>
  <c r="O241" i="1"/>
  <c r="P241" i="1" s="1"/>
  <c r="O240" i="1"/>
  <c r="P240" i="1" s="1"/>
  <c r="O238" i="1"/>
  <c r="O228" i="1"/>
  <c r="P228" i="1" s="1"/>
  <c r="O227" i="1"/>
  <c r="P227" i="1" s="1"/>
  <c r="O226" i="1"/>
  <c r="P226" i="1" s="1"/>
  <c r="O224" i="1"/>
  <c r="P224" i="1" s="1"/>
  <c r="O223" i="1"/>
  <c r="P223" i="1" s="1"/>
  <c r="O222" i="1"/>
  <c r="P222" i="1" s="1"/>
  <c r="O220" i="1"/>
  <c r="P220" i="1" s="1"/>
  <c r="O219" i="1"/>
  <c r="P219" i="1" s="1"/>
  <c r="O218" i="1"/>
  <c r="P218" i="1" s="1"/>
  <c r="O216" i="1"/>
  <c r="P216" i="1" s="1"/>
  <c r="O215" i="1"/>
  <c r="P215" i="1" s="1"/>
  <c r="O214" i="1"/>
  <c r="P214" i="1" s="1"/>
  <c r="O213" i="1"/>
  <c r="P213" i="1" s="1"/>
  <c r="O212" i="1"/>
  <c r="O205" i="1"/>
  <c r="P205" i="1" s="1"/>
  <c r="O204" i="1"/>
  <c r="P204" i="1" s="1"/>
  <c r="O203" i="1"/>
  <c r="P203" i="1" s="1"/>
  <c r="O202" i="1"/>
  <c r="P202" i="1" s="1"/>
  <c r="O191" i="1"/>
  <c r="P191" i="1" s="1"/>
  <c r="O190" i="1"/>
  <c r="P190" i="1" s="1"/>
  <c r="O188" i="1"/>
  <c r="O186" i="1"/>
  <c r="P186" i="1" s="1"/>
  <c r="O185" i="1"/>
  <c r="P185" i="1" s="1"/>
  <c r="O183" i="1"/>
  <c r="P183" i="1" s="1"/>
  <c r="O182" i="1"/>
  <c r="P182" i="1" s="1"/>
  <c r="O180" i="1"/>
  <c r="P180" i="1" s="1"/>
  <c r="O179" i="1"/>
  <c r="P179" i="1" s="1"/>
  <c r="O178" i="1"/>
  <c r="P178" i="1" s="1"/>
  <c r="O177" i="1"/>
  <c r="P177" i="1" s="1"/>
  <c r="O176" i="1"/>
  <c r="P176" i="1" s="1"/>
  <c r="O173" i="1"/>
  <c r="P173" i="1" s="1"/>
  <c r="O172" i="1"/>
  <c r="P172" i="1" s="1"/>
  <c r="O171" i="1"/>
  <c r="P171" i="1" s="1"/>
  <c r="O170" i="1"/>
  <c r="P170" i="1" s="1"/>
  <c r="O169" i="1"/>
  <c r="O163" i="1"/>
  <c r="O161" i="1"/>
  <c r="O159" i="1"/>
  <c r="P159" i="1" s="1"/>
  <c r="O158" i="1"/>
  <c r="P158" i="1" s="1"/>
  <c r="O157" i="1"/>
  <c r="P157" i="1" s="1"/>
  <c r="O156" i="1"/>
  <c r="P156" i="1" s="1"/>
  <c r="O153" i="1"/>
  <c r="O144" i="1"/>
  <c r="P144" i="1" s="1"/>
  <c r="O143" i="1"/>
  <c r="P143" i="1" s="1"/>
  <c r="O142" i="1"/>
  <c r="P142" i="1" s="1"/>
  <c r="O140" i="1"/>
  <c r="O137" i="1"/>
  <c r="P137" i="1" s="1"/>
  <c r="O136" i="1"/>
  <c r="P136" i="1" s="1"/>
  <c r="O135" i="1"/>
  <c r="P135" i="1" s="1"/>
  <c r="O133" i="1"/>
  <c r="O131" i="1"/>
  <c r="O129" i="1"/>
  <c r="P129" i="1" s="1"/>
  <c r="O128" i="1"/>
  <c r="P128" i="1" s="1"/>
  <c r="O125" i="1"/>
  <c r="O123" i="1"/>
  <c r="O102" i="1"/>
  <c r="O100" i="1"/>
  <c r="P100" i="1" s="1"/>
  <c r="O99" i="1"/>
  <c r="P99" i="1" s="1"/>
  <c r="O98" i="1"/>
  <c r="P98" i="1" s="1"/>
  <c r="O96" i="1"/>
  <c r="P96" i="1" s="1"/>
  <c r="O95" i="1"/>
  <c r="P95" i="1" s="1"/>
  <c r="O93" i="1"/>
  <c r="P93" i="1" s="1"/>
  <c r="O92" i="1"/>
  <c r="P92" i="1" s="1"/>
  <c r="O90" i="1"/>
  <c r="P90" i="1" s="1"/>
  <c r="O89" i="1"/>
  <c r="P89" i="1" s="1"/>
  <c r="O87" i="1"/>
  <c r="O85" i="1"/>
  <c r="P85" i="1" s="1"/>
  <c r="O84" i="1"/>
  <c r="P84" i="1" s="1"/>
  <c r="O83" i="1"/>
  <c r="P83" i="1" s="1"/>
  <c r="O81" i="1"/>
  <c r="P81" i="1" s="1"/>
  <c r="O80" i="1"/>
  <c r="P80" i="1" s="1"/>
  <c r="O77" i="1"/>
  <c r="O73" i="1"/>
  <c r="O71" i="1"/>
  <c r="O69" i="1"/>
  <c r="P69" i="1" s="1"/>
  <c r="O68" i="1"/>
  <c r="P68" i="1" s="1"/>
  <c r="O65" i="1"/>
  <c r="P65" i="1" s="1"/>
  <c r="O64" i="1"/>
  <c r="P64" i="1" s="1"/>
  <c r="O62" i="1"/>
  <c r="O59" i="1"/>
  <c r="O55" i="1"/>
  <c r="P55" i="1" s="1"/>
  <c r="O54" i="1"/>
  <c r="P54" i="1" s="1"/>
  <c r="O53" i="1"/>
  <c r="P53" i="1" s="1"/>
  <c r="O52" i="1"/>
  <c r="P52" i="1" s="1"/>
  <c r="O51" i="1"/>
  <c r="P51" i="1" s="1"/>
  <c r="O49" i="1"/>
  <c r="O46" i="1"/>
  <c r="O43" i="1"/>
  <c r="O41" i="1"/>
  <c r="P41" i="1" s="1"/>
  <c r="O40" i="1"/>
  <c r="P40" i="1" s="1"/>
  <c r="O38" i="1"/>
  <c r="O35" i="1"/>
  <c r="O33" i="1"/>
  <c r="O30" i="1"/>
  <c r="P30" i="1" s="1"/>
  <c r="O29" i="1"/>
  <c r="P29" i="1" s="1"/>
  <c r="O26" i="1"/>
  <c r="O24" i="1"/>
  <c r="O22" i="1"/>
  <c r="O469" i="1" l="1"/>
  <c r="O490" i="1"/>
  <c r="O445" i="1"/>
  <c r="O459" i="1"/>
  <c r="O513" i="1"/>
  <c r="P408" i="1"/>
  <c r="P169" i="1"/>
  <c r="P212" i="1"/>
  <c r="P321" i="1"/>
  <c r="L540" i="1" l="1"/>
  <c r="J540" i="1"/>
  <c r="M539" i="1"/>
  <c r="M540" i="1" s="1"/>
  <c r="L539" i="1"/>
  <c r="K539" i="1"/>
  <c r="K540" i="1" s="1"/>
  <c r="J539" i="1"/>
  <c r="I539" i="1"/>
  <c r="I540" i="1" s="1"/>
  <c r="N539" i="1"/>
  <c r="M536" i="1"/>
  <c r="K536" i="1"/>
  <c r="I536" i="1"/>
  <c r="P535" i="1"/>
  <c r="H535" i="1"/>
  <c r="N535" i="1" s="1"/>
  <c r="M534" i="1"/>
  <c r="L534" i="1"/>
  <c r="K534" i="1"/>
  <c r="J534" i="1"/>
  <c r="N534" i="1" s="1"/>
  <c r="P534" i="1" s="1"/>
  <c r="I534" i="1"/>
  <c r="H534" i="1"/>
  <c r="M533" i="1"/>
  <c r="L533" i="1"/>
  <c r="L536" i="1" s="1"/>
  <c r="K533" i="1"/>
  <c r="J533" i="1"/>
  <c r="J536" i="1" s="1"/>
  <c r="I533" i="1"/>
  <c r="H533" i="1"/>
  <c r="H536" i="1" s="1"/>
  <c r="M529" i="1"/>
  <c r="L529" i="1"/>
  <c r="K529" i="1"/>
  <c r="J529" i="1"/>
  <c r="N529" i="1" s="1"/>
  <c r="P529" i="1" s="1"/>
  <c r="I529" i="1"/>
  <c r="H529" i="1"/>
  <c r="M528" i="1"/>
  <c r="M530" i="1" s="1"/>
  <c r="L528" i="1"/>
  <c r="L530" i="1" s="1"/>
  <c r="K528" i="1"/>
  <c r="K530" i="1" s="1"/>
  <c r="J528" i="1"/>
  <c r="J530" i="1" s="1"/>
  <c r="I528" i="1"/>
  <c r="I530" i="1" s="1"/>
  <c r="H528" i="1"/>
  <c r="H530" i="1" s="1"/>
  <c r="M522" i="1"/>
  <c r="L522" i="1"/>
  <c r="K522" i="1"/>
  <c r="J522" i="1"/>
  <c r="N522" i="1" s="1"/>
  <c r="P522" i="1" s="1"/>
  <c r="I522" i="1"/>
  <c r="H522" i="1"/>
  <c r="M521" i="1"/>
  <c r="L521" i="1"/>
  <c r="K521" i="1"/>
  <c r="J521" i="1"/>
  <c r="N521" i="1" s="1"/>
  <c r="P521" i="1" s="1"/>
  <c r="I521" i="1"/>
  <c r="H521" i="1"/>
  <c r="M519" i="1"/>
  <c r="M523" i="1" s="1"/>
  <c r="L519" i="1"/>
  <c r="L523" i="1" s="1"/>
  <c r="K519" i="1"/>
  <c r="K523" i="1" s="1"/>
  <c r="J519" i="1"/>
  <c r="N519" i="1" s="1"/>
  <c r="I519" i="1"/>
  <c r="I523" i="1" s="1"/>
  <c r="H519" i="1"/>
  <c r="H523" i="1" s="1"/>
  <c r="K513" i="1"/>
  <c r="J513" i="1"/>
  <c r="N512" i="1"/>
  <c r="P512" i="1" s="1"/>
  <c r="F512" i="1"/>
  <c r="P511" i="1"/>
  <c r="N511" i="1"/>
  <c r="F510" i="1"/>
  <c r="M509" i="1"/>
  <c r="L509" i="1"/>
  <c r="K509" i="1"/>
  <c r="J509" i="1"/>
  <c r="I509" i="1"/>
  <c r="H509" i="1"/>
  <c r="N509" i="1" s="1"/>
  <c r="P509" i="1" s="1"/>
  <c r="M504" i="1"/>
  <c r="L504" i="1"/>
  <c r="K504" i="1"/>
  <c r="J504" i="1"/>
  <c r="I504" i="1"/>
  <c r="H504" i="1"/>
  <c r="N504" i="1" s="1"/>
  <c r="P504" i="1" s="1"/>
  <c r="M502" i="1"/>
  <c r="L502" i="1"/>
  <c r="K502" i="1"/>
  <c r="J502" i="1"/>
  <c r="I502" i="1"/>
  <c r="H502" i="1"/>
  <c r="N502" i="1" s="1"/>
  <c r="P502" i="1" s="1"/>
  <c r="M500" i="1"/>
  <c r="L500" i="1"/>
  <c r="K500" i="1"/>
  <c r="J500" i="1"/>
  <c r="I500" i="1"/>
  <c r="H500" i="1"/>
  <c r="N500" i="1" s="1"/>
  <c r="P500" i="1" s="1"/>
  <c r="M499" i="1"/>
  <c r="L499" i="1"/>
  <c r="K499" i="1"/>
  <c r="J499" i="1"/>
  <c r="I499" i="1"/>
  <c r="H499" i="1"/>
  <c r="N499" i="1" s="1"/>
  <c r="P499" i="1" s="1"/>
  <c r="M498" i="1"/>
  <c r="L498" i="1"/>
  <c r="K498" i="1"/>
  <c r="J498" i="1"/>
  <c r="I498" i="1"/>
  <c r="H498" i="1"/>
  <c r="N498" i="1" s="1"/>
  <c r="P498" i="1" s="1"/>
  <c r="M495" i="1"/>
  <c r="M513" i="1" s="1"/>
  <c r="L495" i="1"/>
  <c r="K495" i="1"/>
  <c r="J495" i="1"/>
  <c r="I495" i="1"/>
  <c r="I513" i="1" s="1"/>
  <c r="H495" i="1"/>
  <c r="M489" i="1"/>
  <c r="L489" i="1"/>
  <c r="K489" i="1"/>
  <c r="J489" i="1"/>
  <c r="I489" i="1"/>
  <c r="H489" i="1"/>
  <c r="N489" i="1" s="1"/>
  <c r="P489" i="1" s="1"/>
  <c r="M488" i="1"/>
  <c r="L488" i="1"/>
  <c r="K488" i="1"/>
  <c r="J488" i="1"/>
  <c r="I488" i="1"/>
  <c r="H488" i="1"/>
  <c r="N488" i="1" s="1"/>
  <c r="P488" i="1" s="1"/>
  <c r="M486" i="1"/>
  <c r="L486" i="1"/>
  <c r="K486" i="1"/>
  <c r="J486" i="1"/>
  <c r="I486" i="1"/>
  <c r="H486" i="1"/>
  <c r="N486" i="1" s="1"/>
  <c r="P486" i="1" s="1"/>
  <c r="M485" i="1"/>
  <c r="L485" i="1"/>
  <c r="K485" i="1"/>
  <c r="J485" i="1"/>
  <c r="I485" i="1"/>
  <c r="H485" i="1"/>
  <c r="N485" i="1" s="1"/>
  <c r="P485" i="1" s="1"/>
  <c r="M483" i="1"/>
  <c r="L483" i="1"/>
  <c r="K483" i="1"/>
  <c r="J483" i="1"/>
  <c r="I483" i="1"/>
  <c r="H483" i="1"/>
  <c r="N483" i="1" s="1"/>
  <c r="P483" i="1" s="1"/>
  <c r="M482" i="1"/>
  <c r="L482" i="1"/>
  <c r="K482" i="1"/>
  <c r="J482" i="1"/>
  <c r="I482" i="1"/>
  <c r="H482" i="1"/>
  <c r="N482" i="1" s="1"/>
  <c r="P482" i="1" s="1"/>
  <c r="M480" i="1"/>
  <c r="L480" i="1"/>
  <c r="K480" i="1"/>
  <c r="J480" i="1"/>
  <c r="I480" i="1"/>
  <c r="H480" i="1"/>
  <c r="N480" i="1" s="1"/>
  <c r="P480" i="1" s="1"/>
  <c r="M479" i="1"/>
  <c r="L479" i="1"/>
  <c r="K479" i="1"/>
  <c r="J479" i="1"/>
  <c r="I479" i="1"/>
  <c r="H479" i="1"/>
  <c r="N479" i="1" s="1"/>
  <c r="P479" i="1" s="1"/>
  <c r="M477" i="1"/>
  <c r="L477" i="1"/>
  <c r="K477" i="1"/>
  <c r="J477" i="1"/>
  <c r="I477" i="1"/>
  <c r="H477" i="1"/>
  <c r="N477" i="1" s="1"/>
  <c r="P477" i="1" s="1"/>
  <c r="M476" i="1"/>
  <c r="M490" i="1" s="1"/>
  <c r="L476" i="1"/>
  <c r="L490" i="1" s="1"/>
  <c r="K476" i="1"/>
  <c r="K490" i="1" s="1"/>
  <c r="J476" i="1"/>
  <c r="J490" i="1" s="1"/>
  <c r="I476" i="1"/>
  <c r="I490" i="1" s="1"/>
  <c r="H476" i="1"/>
  <c r="N476" i="1" s="1"/>
  <c r="M468" i="1"/>
  <c r="L468" i="1"/>
  <c r="K468" i="1"/>
  <c r="J468" i="1"/>
  <c r="I468" i="1"/>
  <c r="H468" i="1"/>
  <c r="N468" i="1" s="1"/>
  <c r="P468" i="1" s="1"/>
  <c r="M466" i="1"/>
  <c r="L466" i="1"/>
  <c r="K466" i="1"/>
  <c r="J466" i="1"/>
  <c r="I466" i="1"/>
  <c r="H466" i="1"/>
  <c r="N466" i="1" s="1"/>
  <c r="P466" i="1" s="1"/>
  <c r="M465" i="1"/>
  <c r="M469" i="1" s="1"/>
  <c r="L465" i="1"/>
  <c r="L469" i="1" s="1"/>
  <c r="K465" i="1"/>
  <c r="K469" i="1" s="1"/>
  <c r="J465" i="1"/>
  <c r="J469" i="1" s="1"/>
  <c r="I465" i="1"/>
  <c r="I469" i="1" s="1"/>
  <c r="H465" i="1"/>
  <c r="M458" i="1"/>
  <c r="L458" i="1"/>
  <c r="K458" i="1"/>
  <c r="J458" i="1"/>
  <c r="I458" i="1"/>
  <c r="H458" i="1"/>
  <c r="N458" i="1" s="1"/>
  <c r="P458" i="1" s="1"/>
  <c r="M457" i="1"/>
  <c r="L457" i="1"/>
  <c r="K457" i="1"/>
  <c r="J457" i="1"/>
  <c r="I457" i="1"/>
  <c r="H457" i="1"/>
  <c r="N457" i="1" s="1"/>
  <c r="P457" i="1" s="1"/>
  <c r="M454" i="1"/>
  <c r="L454" i="1"/>
  <c r="K454" i="1"/>
  <c r="J454" i="1"/>
  <c r="I454" i="1"/>
  <c r="H454" i="1"/>
  <c r="N454" i="1" s="1"/>
  <c r="P454" i="1" s="1"/>
  <c r="M451" i="1"/>
  <c r="M459" i="1" s="1"/>
  <c r="L451" i="1"/>
  <c r="L459" i="1" s="1"/>
  <c r="K451" i="1"/>
  <c r="K459" i="1" s="1"/>
  <c r="J451" i="1"/>
  <c r="J459" i="1" s="1"/>
  <c r="I451" i="1"/>
  <c r="I459" i="1" s="1"/>
  <c r="H451" i="1"/>
  <c r="N451" i="1" s="1"/>
  <c r="M444" i="1"/>
  <c r="L444" i="1"/>
  <c r="K444" i="1"/>
  <c r="J444" i="1"/>
  <c r="I444" i="1"/>
  <c r="H444" i="1"/>
  <c r="N444" i="1" s="1"/>
  <c r="P444" i="1" s="1"/>
  <c r="M443" i="1"/>
  <c r="L443" i="1"/>
  <c r="K443" i="1"/>
  <c r="J443" i="1"/>
  <c r="I443" i="1"/>
  <c r="H443" i="1"/>
  <c r="N443" i="1" s="1"/>
  <c r="P443" i="1" s="1"/>
  <c r="M441" i="1"/>
  <c r="M445" i="1" s="1"/>
  <c r="L441" i="1"/>
  <c r="L445" i="1" s="1"/>
  <c r="K441" i="1"/>
  <c r="K445" i="1" s="1"/>
  <c r="J441" i="1"/>
  <c r="J445" i="1" s="1"/>
  <c r="I441" i="1"/>
  <c r="I445" i="1" s="1"/>
  <c r="H441" i="1"/>
  <c r="N441" i="1" s="1"/>
  <c r="M436" i="1"/>
  <c r="L436" i="1"/>
  <c r="K436" i="1"/>
  <c r="J436" i="1"/>
  <c r="I436" i="1"/>
  <c r="H436" i="1"/>
  <c r="N436" i="1" s="1"/>
  <c r="O436" i="1" s="1"/>
  <c r="P436" i="1" s="1"/>
  <c r="M435" i="1"/>
  <c r="L435" i="1"/>
  <c r="K435" i="1"/>
  <c r="J435" i="1"/>
  <c r="I435" i="1"/>
  <c r="H435" i="1"/>
  <c r="M434" i="1"/>
  <c r="L434" i="1"/>
  <c r="K434" i="1"/>
  <c r="J434" i="1"/>
  <c r="I434" i="1"/>
  <c r="H434" i="1"/>
  <c r="N434" i="1" s="1"/>
  <c r="O434" i="1" s="1"/>
  <c r="P434" i="1" s="1"/>
  <c r="M433" i="1"/>
  <c r="L433" i="1"/>
  <c r="K433" i="1"/>
  <c r="J433" i="1"/>
  <c r="I433" i="1"/>
  <c r="H433" i="1"/>
  <c r="M432" i="1"/>
  <c r="L432" i="1"/>
  <c r="K432" i="1"/>
  <c r="J432" i="1"/>
  <c r="I432" i="1"/>
  <c r="H432" i="1"/>
  <c r="N432" i="1" s="1"/>
  <c r="O432" i="1" s="1"/>
  <c r="P432" i="1" s="1"/>
  <c r="M431" i="1"/>
  <c r="L431" i="1"/>
  <c r="K431" i="1"/>
  <c r="J431" i="1"/>
  <c r="I431" i="1"/>
  <c r="H431" i="1"/>
  <c r="M430" i="1"/>
  <c r="L430" i="1"/>
  <c r="K430" i="1"/>
  <c r="J430" i="1"/>
  <c r="I430" i="1"/>
  <c r="H430" i="1"/>
  <c r="N430" i="1" s="1"/>
  <c r="O430" i="1" s="1"/>
  <c r="P430" i="1" s="1"/>
  <c r="M429" i="1"/>
  <c r="L429" i="1"/>
  <c r="K429" i="1"/>
  <c r="J429" i="1"/>
  <c r="I429" i="1"/>
  <c r="H429" i="1"/>
  <c r="M428" i="1"/>
  <c r="L428" i="1"/>
  <c r="K428" i="1"/>
  <c r="J428" i="1"/>
  <c r="I428" i="1"/>
  <c r="H428" i="1"/>
  <c r="N428" i="1" s="1"/>
  <c r="O428" i="1" s="1"/>
  <c r="P428" i="1" s="1"/>
  <c r="M427" i="1"/>
  <c r="L427" i="1"/>
  <c r="K427" i="1"/>
  <c r="J427" i="1"/>
  <c r="I427" i="1"/>
  <c r="H427" i="1"/>
  <c r="M425" i="1"/>
  <c r="L425" i="1"/>
  <c r="K425" i="1"/>
  <c r="J425" i="1"/>
  <c r="I425" i="1"/>
  <c r="H425" i="1"/>
  <c r="N425" i="1" s="1"/>
  <c r="M424" i="1"/>
  <c r="L424" i="1"/>
  <c r="K424" i="1"/>
  <c r="J424" i="1"/>
  <c r="N424" i="1" s="1"/>
  <c r="I424" i="1"/>
  <c r="H424" i="1"/>
  <c r="M423" i="1"/>
  <c r="L423" i="1"/>
  <c r="K423" i="1"/>
  <c r="J423" i="1"/>
  <c r="I423" i="1"/>
  <c r="H423" i="1"/>
  <c r="N423" i="1" s="1"/>
  <c r="M422" i="1"/>
  <c r="L422" i="1"/>
  <c r="K422" i="1"/>
  <c r="J422" i="1"/>
  <c r="I422" i="1"/>
  <c r="H422" i="1"/>
  <c r="N422" i="1" s="1"/>
  <c r="M421" i="1"/>
  <c r="L421" i="1"/>
  <c r="K421" i="1"/>
  <c r="J421" i="1"/>
  <c r="I421" i="1"/>
  <c r="H421" i="1"/>
  <c r="N421" i="1" s="1"/>
  <c r="M418" i="1"/>
  <c r="L418" i="1"/>
  <c r="K418" i="1"/>
  <c r="J418" i="1"/>
  <c r="N418" i="1" s="1"/>
  <c r="I418" i="1"/>
  <c r="H418" i="1"/>
  <c r="M417" i="1"/>
  <c r="L417" i="1"/>
  <c r="K417" i="1"/>
  <c r="J417" i="1"/>
  <c r="I417" i="1"/>
  <c r="H417" i="1"/>
  <c r="N417" i="1" s="1"/>
  <c r="M416" i="1"/>
  <c r="L416" i="1"/>
  <c r="K416" i="1"/>
  <c r="J416" i="1"/>
  <c r="I416" i="1"/>
  <c r="H416" i="1"/>
  <c r="N416" i="1" s="1"/>
  <c r="M415" i="1"/>
  <c r="L415" i="1"/>
  <c r="K415" i="1"/>
  <c r="J415" i="1"/>
  <c r="I415" i="1"/>
  <c r="H415" i="1"/>
  <c r="N415" i="1" s="1"/>
  <c r="M414" i="1"/>
  <c r="L414" i="1"/>
  <c r="K414" i="1"/>
  <c r="J414" i="1"/>
  <c r="N414" i="1" s="1"/>
  <c r="I414" i="1"/>
  <c r="H414" i="1"/>
  <c r="M412" i="1"/>
  <c r="L412" i="1"/>
  <c r="K412" i="1"/>
  <c r="J412" i="1"/>
  <c r="I412" i="1"/>
  <c r="H412" i="1"/>
  <c r="N412" i="1" s="1"/>
  <c r="M410" i="1"/>
  <c r="L410" i="1"/>
  <c r="K410" i="1"/>
  <c r="J410" i="1"/>
  <c r="I410" i="1"/>
  <c r="H410" i="1"/>
  <c r="N410" i="1" s="1"/>
  <c r="M409" i="1"/>
  <c r="L409" i="1"/>
  <c r="K409" i="1"/>
  <c r="J409" i="1"/>
  <c r="I409" i="1"/>
  <c r="H409" i="1"/>
  <c r="N409" i="1" s="1"/>
  <c r="M408" i="1"/>
  <c r="L408" i="1"/>
  <c r="K408" i="1"/>
  <c r="J408" i="1"/>
  <c r="N408" i="1" s="1"/>
  <c r="I408" i="1"/>
  <c r="H408" i="1"/>
  <c r="M407" i="1"/>
  <c r="L407" i="1"/>
  <c r="K407" i="1"/>
  <c r="J407" i="1"/>
  <c r="I407" i="1"/>
  <c r="H407" i="1"/>
  <c r="N407" i="1" s="1"/>
  <c r="M405" i="1"/>
  <c r="L405" i="1"/>
  <c r="K405" i="1"/>
  <c r="J405" i="1"/>
  <c r="I405" i="1"/>
  <c r="H405" i="1"/>
  <c r="N405" i="1" s="1"/>
  <c r="M404" i="1"/>
  <c r="M437" i="1" s="1"/>
  <c r="L404" i="1"/>
  <c r="K404" i="1"/>
  <c r="K437" i="1" s="1"/>
  <c r="J404" i="1"/>
  <c r="I404" i="1"/>
  <c r="I437" i="1" s="1"/>
  <c r="H404" i="1"/>
  <c r="N404" i="1" s="1"/>
  <c r="M397" i="1"/>
  <c r="L397" i="1"/>
  <c r="K397" i="1"/>
  <c r="J397" i="1"/>
  <c r="N397" i="1" s="1"/>
  <c r="I397" i="1"/>
  <c r="H397" i="1"/>
  <c r="M396" i="1"/>
  <c r="L396" i="1"/>
  <c r="K396" i="1"/>
  <c r="J396" i="1"/>
  <c r="I396" i="1"/>
  <c r="H396" i="1"/>
  <c r="N396" i="1" s="1"/>
  <c r="M395" i="1"/>
  <c r="L395" i="1"/>
  <c r="K395" i="1"/>
  <c r="J395" i="1"/>
  <c r="I395" i="1"/>
  <c r="H395" i="1"/>
  <c r="N395" i="1" s="1"/>
  <c r="M394" i="1"/>
  <c r="L394" i="1"/>
  <c r="K394" i="1"/>
  <c r="J394" i="1"/>
  <c r="I394" i="1"/>
  <c r="H394" i="1"/>
  <c r="N394" i="1" s="1"/>
  <c r="M392" i="1"/>
  <c r="L392" i="1"/>
  <c r="K392" i="1"/>
  <c r="J392" i="1"/>
  <c r="I392" i="1"/>
  <c r="H392" i="1"/>
  <c r="M391" i="1"/>
  <c r="L391" i="1"/>
  <c r="K391" i="1"/>
  <c r="J391" i="1"/>
  <c r="I391" i="1"/>
  <c r="H391" i="1"/>
  <c r="M390" i="1"/>
  <c r="L390" i="1"/>
  <c r="K390" i="1"/>
  <c r="J390" i="1"/>
  <c r="I390" i="1"/>
  <c r="H390" i="1"/>
  <c r="M387" i="1"/>
  <c r="L387" i="1"/>
  <c r="K387" i="1"/>
  <c r="J387" i="1"/>
  <c r="I387" i="1"/>
  <c r="H387" i="1"/>
  <c r="N387" i="1" s="1"/>
  <c r="M386" i="1"/>
  <c r="L386" i="1"/>
  <c r="K386" i="1"/>
  <c r="J386" i="1"/>
  <c r="I386" i="1"/>
  <c r="H386" i="1"/>
  <c r="M384" i="1"/>
  <c r="L384" i="1"/>
  <c r="K384" i="1"/>
  <c r="J384" i="1"/>
  <c r="I384" i="1"/>
  <c r="H384" i="1"/>
  <c r="M383" i="1"/>
  <c r="L383" i="1"/>
  <c r="K383" i="1"/>
  <c r="J383" i="1"/>
  <c r="I383" i="1"/>
  <c r="H383" i="1"/>
  <c r="M382" i="1"/>
  <c r="L382" i="1"/>
  <c r="K382" i="1"/>
  <c r="J382" i="1"/>
  <c r="I382" i="1"/>
  <c r="H382" i="1"/>
  <c r="N382" i="1" s="1"/>
  <c r="O382" i="1" s="1"/>
  <c r="P382" i="1" s="1"/>
  <c r="M381" i="1"/>
  <c r="L381" i="1"/>
  <c r="K381" i="1"/>
  <c r="J381" i="1"/>
  <c r="I381" i="1"/>
  <c r="H381" i="1"/>
  <c r="M380" i="1"/>
  <c r="L380" i="1"/>
  <c r="K380" i="1"/>
  <c r="J380" i="1"/>
  <c r="I380" i="1"/>
  <c r="H380" i="1"/>
  <c r="M379" i="1"/>
  <c r="L379" i="1"/>
  <c r="K379" i="1"/>
  <c r="J379" i="1"/>
  <c r="I379" i="1"/>
  <c r="H379" i="1"/>
  <c r="M378" i="1"/>
  <c r="L378" i="1"/>
  <c r="K378" i="1"/>
  <c r="J378" i="1"/>
  <c r="I378" i="1"/>
  <c r="H378" i="1"/>
  <c r="N378" i="1" s="1"/>
  <c r="O378" i="1" s="1"/>
  <c r="M376" i="1"/>
  <c r="L376" i="1"/>
  <c r="K376" i="1"/>
  <c r="J376" i="1"/>
  <c r="I376" i="1"/>
  <c r="H376" i="1"/>
  <c r="M372" i="1"/>
  <c r="L372" i="1"/>
  <c r="K372" i="1"/>
  <c r="J372" i="1"/>
  <c r="I372" i="1"/>
  <c r="H372" i="1"/>
  <c r="M371" i="1"/>
  <c r="L371" i="1"/>
  <c r="K371" i="1"/>
  <c r="J371" i="1"/>
  <c r="I371" i="1"/>
  <c r="H371" i="1"/>
  <c r="M370" i="1"/>
  <c r="L370" i="1"/>
  <c r="K370" i="1"/>
  <c r="J370" i="1"/>
  <c r="I370" i="1"/>
  <c r="H370" i="1"/>
  <c r="N370" i="1" s="1"/>
  <c r="M368" i="1"/>
  <c r="L368" i="1"/>
  <c r="K368" i="1"/>
  <c r="J368" i="1"/>
  <c r="I368" i="1"/>
  <c r="H368" i="1"/>
  <c r="M367" i="1"/>
  <c r="L367" i="1"/>
  <c r="K367" i="1"/>
  <c r="J367" i="1"/>
  <c r="I367" i="1"/>
  <c r="H367" i="1"/>
  <c r="M364" i="1"/>
  <c r="L364" i="1"/>
  <c r="K364" i="1"/>
  <c r="J364" i="1"/>
  <c r="I364" i="1"/>
  <c r="H364" i="1"/>
  <c r="M362" i="1"/>
  <c r="L362" i="1"/>
  <c r="K362" i="1"/>
  <c r="J362" i="1"/>
  <c r="I362" i="1"/>
  <c r="H362" i="1"/>
  <c r="N362" i="1" s="1"/>
  <c r="M360" i="1"/>
  <c r="L360" i="1"/>
  <c r="K360" i="1"/>
  <c r="J360" i="1"/>
  <c r="I360" i="1"/>
  <c r="H360" i="1"/>
  <c r="M358" i="1"/>
  <c r="L358" i="1"/>
  <c r="K358" i="1"/>
  <c r="J358" i="1"/>
  <c r="I358" i="1"/>
  <c r="H358" i="1"/>
  <c r="M357" i="1"/>
  <c r="L357" i="1"/>
  <c r="K357" i="1"/>
  <c r="J357" i="1"/>
  <c r="I357" i="1"/>
  <c r="H357" i="1"/>
  <c r="M356" i="1"/>
  <c r="L356" i="1"/>
  <c r="K356" i="1"/>
  <c r="J356" i="1"/>
  <c r="I356" i="1"/>
  <c r="H356" i="1"/>
  <c r="N356" i="1" s="1"/>
  <c r="M354" i="1"/>
  <c r="L354" i="1"/>
  <c r="K354" i="1"/>
  <c r="J354" i="1"/>
  <c r="I354" i="1"/>
  <c r="H354" i="1"/>
  <c r="M353" i="1"/>
  <c r="L353" i="1"/>
  <c r="K353" i="1"/>
  <c r="J353" i="1"/>
  <c r="I353" i="1"/>
  <c r="H353" i="1"/>
  <c r="M352" i="1"/>
  <c r="L352" i="1"/>
  <c r="K352" i="1"/>
  <c r="J352" i="1"/>
  <c r="I352" i="1"/>
  <c r="H352" i="1"/>
  <c r="M350" i="1"/>
  <c r="L350" i="1"/>
  <c r="K350" i="1"/>
  <c r="J350" i="1"/>
  <c r="I350" i="1"/>
  <c r="H350" i="1"/>
  <c r="N350" i="1" s="1"/>
  <c r="M348" i="1"/>
  <c r="L348" i="1"/>
  <c r="K348" i="1"/>
  <c r="J348" i="1"/>
  <c r="I348" i="1"/>
  <c r="H348" i="1"/>
  <c r="M347" i="1"/>
  <c r="L347" i="1"/>
  <c r="K347" i="1"/>
  <c r="J347" i="1"/>
  <c r="I347" i="1"/>
  <c r="H347" i="1"/>
  <c r="M345" i="1"/>
  <c r="L345" i="1"/>
  <c r="K345" i="1"/>
  <c r="J345" i="1"/>
  <c r="I345" i="1"/>
  <c r="H345" i="1"/>
  <c r="M343" i="1"/>
  <c r="L343" i="1"/>
  <c r="K343" i="1"/>
  <c r="J343" i="1"/>
  <c r="I343" i="1"/>
  <c r="H343" i="1"/>
  <c r="N343" i="1" s="1"/>
  <c r="M340" i="1"/>
  <c r="L340" i="1"/>
  <c r="K340" i="1"/>
  <c r="J340" i="1"/>
  <c r="I340" i="1"/>
  <c r="H340" i="1"/>
  <c r="M339" i="1"/>
  <c r="L339" i="1"/>
  <c r="K339" i="1"/>
  <c r="J339" i="1"/>
  <c r="I339" i="1"/>
  <c r="H339" i="1"/>
  <c r="M337" i="1"/>
  <c r="L337" i="1"/>
  <c r="K337" i="1"/>
  <c r="J337" i="1"/>
  <c r="I337" i="1"/>
  <c r="H337" i="1"/>
  <c r="M336" i="1"/>
  <c r="L336" i="1"/>
  <c r="K336" i="1"/>
  <c r="J336" i="1"/>
  <c r="I336" i="1"/>
  <c r="H336" i="1"/>
  <c r="N336" i="1" s="1"/>
  <c r="M334" i="1"/>
  <c r="L334" i="1"/>
  <c r="K334" i="1"/>
  <c r="J334" i="1"/>
  <c r="I334" i="1"/>
  <c r="H334" i="1"/>
  <c r="M333" i="1"/>
  <c r="L333" i="1"/>
  <c r="K333" i="1"/>
  <c r="J333" i="1"/>
  <c r="I333" i="1"/>
  <c r="H333" i="1"/>
  <c r="M332" i="1"/>
  <c r="L332" i="1"/>
  <c r="K332" i="1"/>
  <c r="J332" i="1"/>
  <c r="I332" i="1"/>
  <c r="H332" i="1"/>
  <c r="M329" i="1"/>
  <c r="L329" i="1"/>
  <c r="K329" i="1"/>
  <c r="J329" i="1"/>
  <c r="I329" i="1"/>
  <c r="H329" i="1"/>
  <c r="N329" i="1" s="1"/>
  <c r="M328" i="1"/>
  <c r="L328" i="1"/>
  <c r="K328" i="1"/>
  <c r="J328" i="1"/>
  <c r="I328" i="1"/>
  <c r="H328" i="1"/>
  <c r="M327" i="1"/>
  <c r="L327" i="1"/>
  <c r="K327" i="1"/>
  <c r="J327" i="1"/>
  <c r="I327" i="1"/>
  <c r="H327" i="1"/>
  <c r="M325" i="1"/>
  <c r="L325" i="1"/>
  <c r="K325" i="1"/>
  <c r="J325" i="1"/>
  <c r="I325" i="1"/>
  <c r="H325" i="1"/>
  <c r="M324" i="1"/>
  <c r="L324" i="1"/>
  <c r="K324" i="1"/>
  <c r="J324" i="1"/>
  <c r="I324" i="1"/>
  <c r="H324" i="1"/>
  <c r="N324" i="1" s="1"/>
  <c r="M323" i="1"/>
  <c r="L323" i="1"/>
  <c r="K323" i="1"/>
  <c r="J323" i="1"/>
  <c r="I323" i="1"/>
  <c r="H323" i="1"/>
  <c r="M322" i="1"/>
  <c r="L322" i="1"/>
  <c r="K322" i="1"/>
  <c r="J322" i="1"/>
  <c r="I322" i="1"/>
  <c r="H322" i="1"/>
  <c r="M321" i="1"/>
  <c r="M398" i="1" s="1"/>
  <c r="L321" i="1"/>
  <c r="L398" i="1" s="1"/>
  <c r="K321" i="1"/>
  <c r="J321" i="1"/>
  <c r="I321" i="1"/>
  <c r="I398" i="1" s="1"/>
  <c r="H321" i="1"/>
  <c r="N321" i="1" s="1"/>
  <c r="M314" i="1"/>
  <c r="L314" i="1"/>
  <c r="K314" i="1"/>
  <c r="J314" i="1"/>
  <c r="I314" i="1"/>
  <c r="H314" i="1"/>
  <c r="M311" i="1"/>
  <c r="L311" i="1"/>
  <c r="K311" i="1"/>
  <c r="J311" i="1"/>
  <c r="I311" i="1"/>
  <c r="H311" i="1"/>
  <c r="M310" i="1"/>
  <c r="L310" i="1"/>
  <c r="K310" i="1"/>
  <c r="J310" i="1"/>
  <c r="I310" i="1"/>
  <c r="H310" i="1"/>
  <c r="N310" i="1" s="1"/>
  <c r="O310" i="1" s="1"/>
  <c r="P310" i="1" s="1"/>
  <c r="M309" i="1"/>
  <c r="L309" i="1"/>
  <c r="K309" i="1"/>
  <c r="J309" i="1"/>
  <c r="I309" i="1"/>
  <c r="H309" i="1"/>
  <c r="M308" i="1"/>
  <c r="L308" i="1"/>
  <c r="K308" i="1"/>
  <c r="J308" i="1"/>
  <c r="I308" i="1"/>
  <c r="H308" i="1"/>
  <c r="M307" i="1"/>
  <c r="L307" i="1"/>
  <c r="K307" i="1"/>
  <c r="J307" i="1"/>
  <c r="I307" i="1"/>
  <c r="H307" i="1"/>
  <c r="M306" i="1"/>
  <c r="L306" i="1"/>
  <c r="K306" i="1"/>
  <c r="J306" i="1"/>
  <c r="I306" i="1"/>
  <c r="H306" i="1"/>
  <c r="N306" i="1" s="1"/>
  <c r="O306" i="1" s="1"/>
  <c r="P306" i="1" s="1"/>
  <c r="M305" i="1"/>
  <c r="L305" i="1"/>
  <c r="K305" i="1"/>
  <c r="J305" i="1"/>
  <c r="I305" i="1"/>
  <c r="H305" i="1"/>
  <c r="M304" i="1"/>
  <c r="L304" i="1"/>
  <c r="K304" i="1"/>
  <c r="J304" i="1"/>
  <c r="I304" i="1"/>
  <c r="H304" i="1"/>
  <c r="M302" i="1"/>
  <c r="L302" i="1"/>
  <c r="K302" i="1"/>
  <c r="J302" i="1"/>
  <c r="I302" i="1"/>
  <c r="H302" i="1"/>
  <c r="M301" i="1"/>
  <c r="L301" i="1"/>
  <c r="K301" i="1"/>
  <c r="J301" i="1"/>
  <c r="I301" i="1"/>
  <c r="H301" i="1"/>
  <c r="N301" i="1" s="1"/>
  <c r="O301" i="1" s="1"/>
  <c r="P301" i="1" s="1"/>
  <c r="M300" i="1"/>
  <c r="L300" i="1"/>
  <c r="K300" i="1"/>
  <c r="J300" i="1"/>
  <c r="I300" i="1"/>
  <c r="H300" i="1"/>
  <c r="M299" i="1"/>
  <c r="L299" i="1"/>
  <c r="K299" i="1"/>
  <c r="J299" i="1"/>
  <c r="I299" i="1"/>
  <c r="H299" i="1"/>
  <c r="M298" i="1"/>
  <c r="L298" i="1"/>
  <c r="K298" i="1"/>
  <c r="J298" i="1"/>
  <c r="I298" i="1"/>
  <c r="H298" i="1"/>
  <c r="M297" i="1"/>
  <c r="L297" i="1"/>
  <c r="K297" i="1"/>
  <c r="J297" i="1"/>
  <c r="I297" i="1"/>
  <c r="H297" i="1"/>
  <c r="N297" i="1" s="1"/>
  <c r="O297" i="1" s="1"/>
  <c r="P297" i="1" s="1"/>
  <c r="M296" i="1"/>
  <c r="L296" i="1"/>
  <c r="K296" i="1"/>
  <c r="J296" i="1"/>
  <c r="I296" i="1"/>
  <c r="H296" i="1"/>
  <c r="M295" i="1"/>
  <c r="L295" i="1"/>
  <c r="K295" i="1"/>
  <c r="J295" i="1"/>
  <c r="I295" i="1"/>
  <c r="H295" i="1"/>
  <c r="M292" i="1"/>
  <c r="L292" i="1"/>
  <c r="K292" i="1"/>
  <c r="J292" i="1"/>
  <c r="I292" i="1"/>
  <c r="H292" i="1"/>
  <c r="N292" i="1" s="1"/>
  <c r="M291" i="1"/>
  <c r="L291" i="1"/>
  <c r="K291" i="1"/>
  <c r="J291" i="1"/>
  <c r="I291" i="1"/>
  <c r="H291" i="1"/>
  <c r="N291" i="1" s="1"/>
  <c r="M290" i="1"/>
  <c r="L290" i="1"/>
  <c r="K290" i="1"/>
  <c r="J290" i="1"/>
  <c r="I290" i="1"/>
  <c r="H290" i="1"/>
  <c r="M289" i="1"/>
  <c r="L289" i="1"/>
  <c r="K289" i="1"/>
  <c r="J289" i="1"/>
  <c r="I289" i="1"/>
  <c r="H289" i="1"/>
  <c r="M286" i="1"/>
  <c r="L286" i="1"/>
  <c r="K286" i="1"/>
  <c r="J286" i="1"/>
  <c r="I286" i="1"/>
  <c r="H286" i="1"/>
  <c r="N286" i="1" s="1"/>
  <c r="M285" i="1"/>
  <c r="L285" i="1"/>
  <c r="K285" i="1"/>
  <c r="J285" i="1"/>
  <c r="I285" i="1"/>
  <c r="H285" i="1"/>
  <c r="N285" i="1" s="1"/>
  <c r="M283" i="1"/>
  <c r="L283" i="1"/>
  <c r="K283" i="1"/>
  <c r="J283" i="1"/>
  <c r="I283" i="1"/>
  <c r="H283" i="1"/>
  <c r="M281" i="1"/>
  <c r="L281" i="1"/>
  <c r="K281" i="1"/>
  <c r="J281" i="1"/>
  <c r="I281" i="1"/>
  <c r="H281" i="1"/>
  <c r="M280" i="1"/>
  <c r="L280" i="1"/>
  <c r="K280" i="1"/>
  <c r="J280" i="1"/>
  <c r="I280" i="1"/>
  <c r="H280" i="1"/>
  <c r="N280" i="1" s="1"/>
  <c r="M278" i="1"/>
  <c r="L278" i="1"/>
  <c r="K278" i="1"/>
  <c r="J278" i="1"/>
  <c r="I278" i="1"/>
  <c r="H278" i="1"/>
  <c r="N278" i="1" s="1"/>
  <c r="M277" i="1"/>
  <c r="L277" i="1"/>
  <c r="K277" i="1"/>
  <c r="J277" i="1"/>
  <c r="I277" i="1"/>
  <c r="H277" i="1"/>
  <c r="M276" i="1"/>
  <c r="L276" i="1"/>
  <c r="K276" i="1"/>
  <c r="J276" i="1"/>
  <c r="I276" i="1"/>
  <c r="H276" i="1"/>
  <c r="M275" i="1"/>
  <c r="L275" i="1"/>
  <c r="K275" i="1"/>
  <c r="J275" i="1"/>
  <c r="I275" i="1"/>
  <c r="H275" i="1"/>
  <c r="N275" i="1" s="1"/>
  <c r="M272" i="1"/>
  <c r="L272" i="1"/>
  <c r="K272" i="1"/>
  <c r="J272" i="1"/>
  <c r="I272" i="1"/>
  <c r="H272" i="1"/>
  <c r="N272" i="1" s="1"/>
  <c r="M271" i="1"/>
  <c r="L271" i="1"/>
  <c r="K271" i="1"/>
  <c r="J271" i="1"/>
  <c r="I271" i="1"/>
  <c r="H271" i="1"/>
  <c r="M269" i="1"/>
  <c r="L269" i="1"/>
  <c r="K269" i="1"/>
  <c r="J269" i="1"/>
  <c r="I269" i="1"/>
  <c r="H269" i="1"/>
  <c r="M268" i="1"/>
  <c r="L268" i="1"/>
  <c r="K268" i="1"/>
  <c r="J268" i="1"/>
  <c r="I268" i="1"/>
  <c r="H268" i="1"/>
  <c r="N268" i="1" s="1"/>
  <c r="M267" i="1"/>
  <c r="L267" i="1"/>
  <c r="K267" i="1"/>
  <c r="J267" i="1"/>
  <c r="I267" i="1"/>
  <c r="H267" i="1"/>
  <c r="N267" i="1" s="1"/>
  <c r="M266" i="1"/>
  <c r="L266" i="1"/>
  <c r="K266" i="1"/>
  <c r="J266" i="1"/>
  <c r="I266" i="1"/>
  <c r="H266" i="1"/>
  <c r="M263" i="1"/>
  <c r="L263" i="1"/>
  <c r="K263" i="1"/>
  <c r="J263" i="1"/>
  <c r="I263" i="1"/>
  <c r="H263" i="1"/>
  <c r="M262" i="1"/>
  <c r="L262" i="1"/>
  <c r="K262" i="1"/>
  <c r="J262" i="1"/>
  <c r="I262" i="1"/>
  <c r="H262" i="1"/>
  <c r="N262" i="1" s="1"/>
  <c r="M261" i="1"/>
  <c r="L261" i="1"/>
  <c r="K261" i="1"/>
  <c r="J261" i="1"/>
  <c r="I261" i="1"/>
  <c r="H261" i="1"/>
  <c r="N261" i="1" s="1"/>
  <c r="M260" i="1"/>
  <c r="L260" i="1"/>
  <c r="K260" i="1"/>
  <c r="J260" i="1"/>
  <c r="I260" i="1"/>
  <c r="H260" i="1"/>
  <c r="M259" i="1"/>
  <c r="L259" i="1"/>
  <c r="K259" i="1"/>
  <c r="J259" i="1"/>
  <c r="I259" i="1"/>
  <c r="H259" i="1"/>
  <c r="M257" i="1"/>
  <c r="L257" i="1"/>
  <c r="K257" i="1"/>
  <c r="J257" i="1"/>
  <c r="I257" i="1"/>
  <c r="H257" i="1"/>
  <c r="N257" i="1" s="1"/>
  <c r="M254" i="1"/>
  <c r="L254" i="1"/>
  <c r="K254" i="1"/>
  <c r="J254" i="1"/>
  <c r="I254" i="1"/>
  <c r="H254" i="1"/>
  <c r="N254" i="1" s="1"/>
  <c r="M253" i="1"/>
  <c r="L253" i="1"/>
  <c r="K253" i="1"/>
  <c r="J253" i="1"/>
  <c r="I253" i="1"/>
  <c r="H253" i="1"/>
  <c r="M251" i="1"/>
  <c r="L251" i="1"/>
  <c r="K251" i="1"/>
  <c r="J251" i="1"/>
  <c r="I251" i="1"/>
  <c r="H251" i="1"/>
  <c r="M249" i="1"/>
  <c r="L249" i="1"/>
  <c r="K249" i="1"/>
  <c r="J249" i="1"/>
  <c r="I249" i="1"/>
  <c r="H249" i="1"/>
  <c r="N249" i="1" s="1"/>
  <c r="M247" i="1"/>
  <c r="L247" i="1"/>
  <c r="K247" i="1"/>
  <c r="J247" i="1"/>
  <c r="I247" i="1"/>
  <c r="H247" i="1"/>
  <c r="N247" i="1" s="1"/>
  <c r="M246" i="1"/>
  <c r="L246" i="1"/>
  <c r="K246" i="1"/>
  <c r="J246" i="1"/>
  <c r="I246" i="1"/>
  <c r="H246" i="1"/>
  <c r="M244" i="1"/>
  <c r="L244" i="1"/>
  <c r="K244" i="1"/>
  <c r="J244" i="1"/>
  <c r="I244" i="1"/>
  <c r="H244" i="1"/>
  <c r="M241" i="1"/>
  <c r="L241" i="1"/>
  <c r="K241" i="1"/>
  <c r="J241" i="1"/>
  <c r="I241" i="1"/>
  <c r="H241" i="1"/>
  <c r="N241" i="1" s="1"/>
  <c r="M240" i="1"/>
  <c r="L240" i="1"/>
  <c r="K240" i="1"/>
  <c r="J240" i="1"/>
  <c r="I240" i="1"/>
  <c r="H240" i="1"/>
  <c r="N240" i="1" s="1"/>
  <c r="M238" i="1"/>
  <c r="L238" i="1"/>
  <c r="K238" i="1"/>
  <c r="J238" i="1"/>
  <c r="I238" i="1"/>
  <c r="H238" i="1"/>
  <c r="M235" i="1"/>
  <c r="L235" i="1"/>
  <c r="K235" i="1"/>
  <c r="J235" i="1"/>
  <c r="I235" i="1"/>
  <c r="H235" i="1"/>
  <c r="M234" i="1"/>
  <c r="L234" i="1"/>
  <c r="K234" i="1"/>
  <c r="J234" i="1"/>
  <c r="I234" i="1"/>
  <c r="H234" i="1"/>
  <c r="N234" i="1" s="1"/>
  <c r="O234" i="1" s="1"/>
  <c r="P234" i="1" s="1"/>
  <c r="M233" i="1"/>
  <c r="L233" i="1"/>
  <c r="K233" i="1"/>
  <c r="J233" i="1"/>
  <c r="I233" i="1"/>
  <c r="H233" i="1"/>
  <c r="N233" i="1" s="1"/>
  <c r="O233" i="1" s="1"/>
  <c r="P233" i="1" s="1"/>
  <c r="M232" i="1"/>
  <c r="L232" i="1"/>
  <c r="K232" i="1"/>
  <c r="J232" i="1"/>
  <c r="I232" i="1"/>
  <c r="H232" i="1"/>
  <c r="M231" i="1"/>
  <c r="L231" i="1"/>
  <c r="K231" i="1"/>
  <c r="J231" i="1"/>
  <c r="I231" i="1"/>
  <c r="H231" i="1"/>
  <c r="M230" i="1"/>
  <c r="L230" i="1"/>
  <c r="K230" i="1"/>
  <c r="J230" i="1"/>
  <c r="I230" i="1"/>
  <c r="H230" i="1"/>
  <c r="N230" i="1" s="1"/>
  <c r="O230" i="1" s="1"/>
  <c r="M228" i="1"/>
  <c r="L228" i="1"/>
  <c r="K228" i="1"/>
  <c r="J228" i="1"/>
  <c r="I228" i="1"/>
  <c r="H228" i="1"/>
  <c r="N228" i="1" s="1"/>
  <c r="M227" i="1"/>
  <c r="L227" i="1"/>
  <c r="K227" i="1"/>
  <c r="J227" i="1"/>
  <c r="I227" i="1"/>
  <c r="H227" i="1"/>
  <c r="M226" i="1"/>
  <c r="L226" i="1"/>
  <c r="K226" i="1"/>
  <c r="J226" i="1"/>
  <c r="I226" i="1"/>
  <c r="H226" i="1"/>
  <c r="M224" i="1"/>
  <c r="L224" i="1"/>
  <c r="K224" i="1"/>
  <c r="J224" i="1"/>
  <c r="I224" i="1"/>
  <c r="H224" i="1"/>
  <c r="N224" i="1" s="1"/>
  <c r="M223" i="1"/>
  <c r="L223" i="1"/>
  <c r="K223" i="1"/>
  <c r="J223" i="1"/>
  <c r="I223" i="1"/>
  <c r="H223" i="1"/>
  <c r="N223" i="1" s="1"/>
  <c r="M222" i="1"/>
  <c r="L222" i="1"/>
  <c r="K222" i="1"/>
  <c r="J222" i="1"/>
  <c r="I222" i="1"/>
  <c r="H222" i="1"/>
  <c r="M220" i="1"/>
  <c r="L220" i="1"/>
  <c r="K220" i="1"/>
  <c r="J220" i="1"/>
  <c r="I220" i="1"/>
  <c r="H220" i="1"/>
  <c r="M219" i="1"/>
  <c r="L219" i="1"/>
  <c r="K219" i="1"/>
  <c r="J219" i="1"/>
  <c r="I219" i="1"/>
  <c r="H219" i="1"/>
  <c r="N219" i="1" s="1"/>
  <c r="M218" i="1"/>
  <c r="L218" i="1"/>
  <c r="K218" i="1"/>
  <c r="J218" i="1"/>
  <c r="I218" i="1"/>
  <c r="H218" i="1"/>
  <c r="N218" i="1" s="1"/>
  <c r="M216" i="1"/>
  <c r="L216" i="1"/>
  <c r="K216" i="1"/>
  <c r="J216" i="1"/>
  <c r="I216" i="1"/>
  <c r="H216" i="1"/>
  <c r="M215" i="1"/>
  <c r="L215" i="1"/>
  <c r="K215" i="1"/>
  <c r="J215" i="1"/>
  <c r="I215" i="1"/>
  <c r="H215" i="1"/>
  <c r="M214" i="1"/>
  <c r="L214" i="1"/>
  <c r="K214" i="1"/>
  <c r="J214" i="1"/>
  <c r="I214" i="1"/>
  <c r="H214" i="1"/>
  <c r="N214" i="1" s="1"/>
  <c r="M213" i="1"/>
  <c r="L213" i="1"/>
  <c r="K213" i="1"/>
  <c r="J213" i="1"/>
  <c r="I213" i="1"/>
  <c r="H213" i="1"/>
  <c r="N213" i="1" s="1"/>
  <c r="M212" i="1"/>
  <c r="M315" i="1" s="1"/>
  <c r="L212" i="1"/>
  <c r="L315" i="1" s="1"/>
  <c r="K212" i="1"/>
  <c r="K315" i="1" s="1"/>
  <c r="J212" i="1"/>
  <c r="J315" i="1" s="1"/>
  <c r="I212" i="1"/>
  <c r="H212" i="1"/>
  <c r="M205" i="1"/>
  <c r="L205" i="1"/>
  <c r="K205" i="1"/>
  <c r="J205" i="1"/>
  <c r="I205" i="1"/>
  <c r="H205" i="1"/>
  <c r="N205" i="1" s="1"/>
  <c r="M204" i="1"/>
  <c r="L204" i="1"/>
  <c r="K204" i="1"/>
  <c r="J204" i="1"/>
  <c r="I204" i="1"/>
  <c r="H204" i="1"/>
  <c r="M203" i="1"/>
  <c r="L203" i="1"/>
  <c r="K203" i="1"/>
  <c r="J203" i="1"/>
  <c r="I203" i="1"/>
  <c r="H203" i="1"/>
  <c r="M202" i="1"/>
  <c r="L202" i="1"/>
  <c r="K202" i="1"/>
  <c r="J202" i="1"/>
  <c r="I202" i="1"/>
  <c r="H202" i="1"/>
  <c r="N202" i="1" s="1"/>
  <c r="M199" i="1"/>
  <c r="L199" i="1"/>
  <c r="K199" i="1"/>
  <c r="J199" i="1"/>
  <c r="I199" i="1"/>
  <c r="H199" i="1"/>
  <c r="N199" i="1" s="1"/>
  <c r="O199" i="1" s="1"/>
  <c r="P199" i="1" s="1"/>
  <c r="M198" i="1"/>
  <c r="L198" i="1"/>
  <c r="K198" i="1"/>
  <c r="J198" i="1"/>
  <c r="I198" i="1"/>
  <c r="H198" i="1"/>
  <c r="M197" i="1"/>
  <c r="L197" i="1"/>
  <c r="K197" i="1"/>
  <c r="J197" i="1"/>
  <c r="I197" i="1"/>
  <c r="H197" i="1"/>
  <c r="M196" i="1"/>
  <c r="L196" i="1"/>
  <c r="K196" i="1"/>
  <c r="J196" i="1"/>
  <c r="I196" i="1"/>
  <c r="H196" i="1"/>
  <c r="M195" i="1"/>
  <c r="L195" i="1"/>
  <c r="K195" i="1"/>
  <c r="J195" i="1"/>
  <c r="I195" i="1"/>
  <c r="H195" i="1"/>
  <c r="N195" i="1" s="1"/>
  <c r="O195" i="1" s="1"/>
  <c r="P195" i="1" s="1"/>
  <c r="M194" i="1"/>
  <c r="L194" i="1"/>
  <c r="K194" i="1"/>
  <c r="J194" i="1"/>
  <c r="I194" i="1"/>
  <c r="H194" i="1"/>
  <c r="M193" i="1"/>
  <c r="L193" i="1"/>
  <c r="K193" i="1"/>
  <c r="J193" i="1"/>
  <c r="I193" i="1"/>
  <c r="H193" i="1"/>
  <c r="M191" i="1"/>
  <c r="L191" i="1"/>
  <c r="K191" i="1"/>
  <c r="J191" i="1"/>
  <c r="I191" i="1"/>
  <c r="H191" i="1"/>
  <c r="N191" i="1" s="1"/>
  <c r="M190" i="1"/>
  <c r="L190" i="1"/>
  <c r="K190" i="1"/>
  <c r="J190" i="1"/>
  <c r="I190" i="1"/>
  <c r="H190" i="1"/>
  <c r="N190" i="1" s="1"/>
  <c r="M188" i="1"/>
  <c r="L188" i="1"/>
  <c r="K188" i="1"/>
  <c r="J188" i="1"/>
  <c r="I188" i="1"/>
  <c r="H188" i="1"/>
  <c r="M186" i="1"/>
  <c r="L186" i="1"/>
  <c r="K186" i="1"/>
  <c r="J186" i="1"/>
  <c r="I186" i="1"/>
  <c r="H186" i="1"/>
  <c r="M185" i="1"/>
  <c r="L185" i="1"/>
  <c r="K185" i="1"/>
  <c r="J185" i="1"/>
  <c r="I185" i="1"/>
  <c r="H185" i="1"/>
  <c r="N185" i="1" s="1"/>
  <c r="M183" i="1"/>
  <c r="L183" i="1"/>
  <c r="K183" i="1"/>
  <c r="J183" i="1"/>
  <c r="I183" i="1"/>
  <c r="H183" i="1"/>
  <c r="N183" i="1" s="1"/>
  <c r="M182" i="1"/>
  <c r="L182" i="1"/>
  <c r="K182" i="1"/>
  <c r="J182" i="1"/>
  <c r="I182" i="1"/>
  <c r="H182" i="1"/>
  <c r="M180" i="1"/>
  <c r="L180" i="1"/>
  <c r="K180" i="1"/>
  <c r="J180" i="1"/>
  <c r="I180" i="1"/>
  <c r="H180" i="1"/>
  <c r="M179" i="1"/>
  <c r="L179" i="1"/>
  <c r="K179" i="1"/>
  <c r="J179" i="1"/>
  <c r="I179" i="1"/>
  <c r="H179" i="1"/>
  <c r="N179" i="1" s="1"/>
  <c r="M178" i="1"/>
  <c r="L178" i="1"/>
  <c r="K178" i="1"/>
  <c r="J178" i="1"/>
  <c r="I178" i="1"/>
  <c r="H178" i="1"/>
  <c r="N178" i="1" s="1"/>
  <c r="M177" i="1"/>
  <c r="L177" i="1"/>
  <c r="K177" i="1"/>
  <c r="J177" i="1"/>
  <c r="I177" i="1"/>
  <c r="H177" i="1"/>
  <c r="M176" i="1"/>
  <c r="L176" i="1"/>
  <c r="K176" i="1"/>
  <c r="J176" i="1"/>
  <c r="N176" i="1" s="1"/>
  <c r="I176" i="1"/>
  <c r="H176" i="1"/>
  <c r="M173" i="1"/>
  <c r="L173" i="1"/>
  <c r="K173" i="1"/>
  <c r="J173" i="1"/>
  <c r="I173" i="1"/>
  <c r="H173" i="1"/>
  <c r="N173" i="1" s="1"/>
  <c r="M172" i="1"/>
  <c r="L172" i="1"/>
  <c r="K172" i="1"/>
  <c r="J172" i="1"/>
  <c r="I172" i="1"/>
  <c r="H172" i="1"/>
  <c r="N172" i="1" s="1"/>
  <c r="M171" i="1"/>
  <c r="L171" i="1"/>
  <c r="K171" i="1"/>
  <c r="J171" i="1"/>
  <c r="I171" i="1"/>
  <c r="H171" i="1"/>
  <c r="M170" i="1"/>
  <c r="L170" i="1"/>
  <c r="K170" i="1"/>
  <c r="J170" i="1"/>
  <c r="I170" i="1"/>
  <c r="H170" i="1"/>
  <c r="M169" i="1"/>
  <c r="M206" i="1" s="1"/>
  <c r="L169" i="1"/>
  <c r="L206" i="1" s="1"/>
  <c r="K169" i="1"/>
  <c r="K206" i="1" s="1"/>
  <c r="J169" i="1"/>
  <c r="J206" i="1" s="1"/>
  <c r="I169" i="1"/>
  <c r="I206" i="1" s="1"/>
  <c r="H169" i="1"/>
  <c r="N169" i="1" s="1"/>
  <c r="F163" i="1"/>
  <c r="H163" i="1" s="1"/>
  <c r="N163" i="1" s="1"/>
  <c r="M161" i="1"/>
  <c r="L161" i="1"/>
  <c r="K161" i="1"/>
  <c r="J161" i="1"/>
  <c r="I161" i="1"/>
  <c r="H161" i="1"/>
  <c r="N161" i="1" s="1"/>
  <c r="M159" i="1"/>
  <c r="L159" i="1"/>
  <c r="K159" i="1"/>
  <c r="J159" i="1"/>
  <c r="I159" i="1"/>
  <c r="H159" i="1"/>
  <c r="M158" i="1"/>
  <c r="L158" i="1"/>
  <c r="K158" i="1"/>
  <c r="J158" i="1"/>
  <c r="I158" i="1"/>
  <c r="H158" i="1"/>
  <c r="N158" i="1" s="1"/>
  <c r="M157" i="1"/>
  <c r="L157" i="1"/>
  <c r="K157" i="1"/>
  <c r="J157" i="1"/>
  <c r="I157" i="1"/>
  <c r="H157" i="1"/>
  <c r="N157" i="1" s="1"/>
  <c r="M156" i="1"/>
  <c r="L156" i="1"/>
  <c r="K156" i="1"/>
  <c r="J156" i="1"/>
  <c r="I156" i="1"/>
  <c r="H156" i="1"/>
  <c r="N156" i="1" s="1"/>
  <c r="M153" i="1"/>
  <c r="L153" i="1"/>
  <c r="K153" i="1"/>
  <c r="J153" i="1"/>
  <c r="I153" i="1"/>
  <c r="H153" i="1"/>
  <c r="N153" i="1" s="1"/>
  <c r="M151" i="1"/>
  <c r="L151" i="1"/>
  <c r="K151" i="1"/>
  <c r="J151" i="1"/>
  <c r="I151" i="1"/>
  <c r="H151" i="1"/>
  <c r="M150" i="1"/>
  <c r="L150" i="1"/>
  <c r="K150" i="1"/>
  <c r="J150" i="1"/>
  <c r="I150" i="1"/>
  <c r="H150" i="1"/>
  <c r="N150" i="1" s="1"/>
  <c r="O150" i="1" s="1"/>
  <c r="P150" i="1" s="1"/>
  <c r="M149" i="1"/>
  <c r="L149" i="1"/>
  <c r="K149" i="1"/>
  <c r="J149" i="1"/>
  <c r="I149" i="1"/>
  <c r="H149" i="1"/>
  <c r="M148" i="1"/>
  <c r="L148" i="1"/>
  <c r="K148" i="1"/>
  <c r="J148" i="1"/>
  <c r="I148" i="1"/>
  <c r="H148" i="1"/>
  <c r="N148" i="1" s="1"/>
  <c r="O148" i="1" s="1"/>
  <c r="P148" i="1" s="1"/>
  <c r="M147" i="1"/>
  <c r="L147" i="1"/>
  <c r="K147" i="1"/>
  <c r="J147" i="1"/>
  <c r="I147" i="1"/>
  <c r="H147" i="1"/>
  <c r="M146" i="1"/>
  <c r="L146" i="1"/>
  <c r="K146" i="1"/>
  <c r="J146" i="1"/>
  <c r="I146" i="1"/>
  <c r="H146" i="1"/>
  <c r="N146" i="1" s="1"/>
  <c r="O146" i="1" s="1"/>
  <c r="P146" i="1" s="1"/>
  <c r="M144" i="1"/>
  <c r="L144" i="1"/>
  <c r="K144" i="1"/>
  <c r="J144" i="1"/>
  <c r="I144" i="1"/>
  <c r="H144" i="1"/>
  <c r="N144" i="1" s="1"/>
  <c r="M143" i="1"/>
  <c r="L143" i="1"/>
  <c r="K143" i="1"/>
  <c r="J143" i="1"/>
  <c r="I143" i="1"/>
  <c r="H143" i="1"/>
  <c r="N143" i="1" s="1"/>
  <c r="M142" i="1"/>
  <c r="L142" i="1"/>
  <c r="K142" i="1"/>
  <c r="J142" i="1"/>
  <c r="I142" i="1"/>
  <c r="H142" i="1"/>
  <c r="N142" i="1" s="1"/>
  <c r="M140" i="1"/>
  <c r="L140" i="1"/>
  <c r="K140" i="1"/>
  <c r="J140" i="1"/>
  <c r="I140" i="1"/>
  <c r="H140" i="1"/>
  <c r="N140" i="1" s="1"/>
  <c r="M137" i="1"/>
  <c r="L137" i="1"/>
  <c r="K137" i="1"/>
  <c r="J137" i="1"/>
  <c r="I137" i="1"/>
  <c r="H137" i="1"/>
  <c r="N137" i="1" s="1"/>
  <c r="M136" i="1"/>
  <c r="L136" i="1"/>
  <c r="K136" i="1"/>
  <c r="J136" i="1"/>
  <c r="I136" i="1"/>
  <c r="H136" i="1"/>
  <c r="N136" i="1" s="1"/>
  <c r="M135" i="1"/>
  <c r="L135" i="1"/>
  <c r="K135" i="1"/>
  <c r="J135" i="1"/>
  <c r="I135" i="1"/>
  <c r="H135" i="1"/>
  <c r="N135" i="1" s="1"/>
  <c r="M133" i="1"/>
  <c r="L133" i="1"/>
  <c r="K133" i="1"/>
  <c r="J133" i="1"/>
  <c r="I133" i="1"/>
  <c r="H133" i="1"/>
  <c r="N133" i="1" s="1"/>
  <c r="M131" i="1"/>
  <c r="L131" i="1"/>
  <c r="K131" i="1"/>
  <c r="J131" i="1"/>
  <c r="I131" i="1"/>
  <c r="H131" i="1"/>
  <c r="N131" i="1" s="1"/>
  <c r="M129" i="1"/>
  <c r="L129" i="1"/>
  <c r="K129" i="1"/>
  <c r="J129" i="1"/>
  <c r="I129" i="1"/>
  <c r="H129" i="1"/>
  <c r="N129" i="1" s="1"/>
  <c r="M128" i="1"/>
  <c r="L128" i="1"/>
  <c r="K128" i="1"/>
  <c r="J128" i="1"/>
  <c r="I128" i="1"/>
  <c r="H128" i="1"/>
  <c r="N128" i="1" s="1"/>
  <c r="M125" i="1"/>
  <c r="L125" i="1"/>
  <c r="K125" i="1"/>
  <c r="J125" i="1"/>
  <c r="I125" i="1"/>
  <c r="H125" i="1"/>
  <c r="N125" i="1" s="1"/>
  <c r="M123" i="1"/>
  <c r="L123" i="1"/>
  <c r="K123" i="1"/>
  <c r="J123" i="1"/>
  <c r="I123" i="1"/>
  <c r="H123" i="1"/>
  <c r="N123" i="1" s="1"/>
  <c r="M120" i="1"/>
  <c r="L120" i="1"/>
  <c r="K120" i="1"/>
  <c r="J120" i="1"/>
  <c r="I120" i="1"/>
  <c r="H120" i="1"/>
  <c r="N120" i="1" s="1"/>
  <c r="O120" i="1" s="1"/>
  <c r="P120" i="1" s="1"/>
  <c r="M119" i="1"/>
  <c r="L119" i="1"/>
  <c r="K119" i="1"/>
  <c r="J119" i="1"/>
  <c r="I119" i="1"/>
  <c r="H119" i="1"/>
  <c r="M118" i="1"/>
  <c r="L118" i="1"/>
  <c r="K118" i="1"/>
  <c r="J118" i="1"/>
  <c r="I118" i="1"/>
  <c r="H118" i="1"/>
  <c r="N118" i="1" s="1"/>
  <c r="O118" i="1" s="1"/>
  <c r="P118" i="1" s="1"/>
  <c r="M117" i="1"/>
  <c r="L117" i="1"/>
  <c r="K117" i="1"/>
  <c r="J117" i="1"/>
  <c r="I117" i="1"/>
  <c r="H117" i="1"/>
  <c r="M116" i="1"/>
  <c r="L116" i="1"/>
  <c r="K116" i="1"/>
  <c r="J116" i="1"/>
  <c r="I116" i="1"/>
  <c r="H116" i="1"/>
  <c r="N116" i="1" s="1"/>
  <c r="O116" i="1" s="1"/>
  <c r="P116" i="1" s="1"/>
  <c r="M115" i="1"/>
  <c r="L115" i="1"/>
  <c r="K115" i="1"/>
  <c r="J115" i="1"/>
  <c r="I115" i="1"/>
  <c r="H115" i="1"/>
  <c r="M114" i="1"/>
  <c r="L114" i="1"/>
  <c r="K114" i="1"/>
  <c r="J114" i="1"/>
  <c r="I114" i="1"/>
  <c r="H114" i="1"/>
  <c r="N114" i="1" s="1"/>
  <c r="O114" i="1" s="1"/>
  <c r="P114" i="1" s="1"/>
  <c r="M112" i="1"/>
  <c r="L112" i="1"/>
  <c r="K112" i="1"/>
  <c r="J112" i="1"/>
  <c r="I112" i="1"/>
  <c r="H112" i="1"/>
  <c r="M111" i="1"/>
  <c r="L111" i="1"/>
  <c r="K111" i="1"/>
  <c r="J111" i="1"/>
  <c r="I111" i="1"/>
  <c r="H111" i="1"/>
  <c r="N111" i="1" s="1"/>
  <c r="O111" i="1" s="1"/>
  <c r="P111" i="1" s="1"/>
  <c r="M110" i="1"/>
  <c r="L110" i="1"/>
  <c r="K110" i="1"/>
  <c r="J110" i="1"/>
  <c r="I110" i="1"/>
  <c r="H110" i="1"/>
  <c r="M109" i="1"/>
  <c r="L109" i="1"/>
  <c r="K109" i="1"/>
  <c r="J109" i="1"/>
  <c r="I109" i="1"/>
  <c r="H109" i="1"/>
  <c r="N109" i="1" s="1"/>
  <c r="O109" i="1" s="1"/>
  <c r="P109" i="1" s="1"/>
  <c r="M108" i="1"/>
  <c r="L108" i="1"/>
  <c r="K108" i="1"/>
  <c r="J108" i="1"/>
  <c r="I108" i="1"/>
  <c r="H108" i="1"/>
  <c r="M107" i="1"/>
  <c r="L107" i="1"/>
  <c r="K107" i="1"/>
  <c r="J107" i="1"/>
  <c r="I107" i="1"/>
  <c r="H107" i="1"/>
  <c r="N107" i="1" s="1"/>
  <c r="O107" i="1" s="1"/>
  <c r="P107" i="1" s="1"/>
  <c r="M106" i="1"/>
  <c r="L106" i="1"/>
  <c r="K106" i="1"/>
  <c r="J106" i="1"/>
  <c r="I106" i="1"/>
  <c r="H106" i="1"/>
  <c r="M105" i="1"/>
  <c r="L105" i="1"/>
  <c r="K105" i="1"/>
  <c r="J105" i="1"/>
  <c r="I105" i="1"/>
  <c r="H105" i="1"/>
  <c r="N105" i="1" s="1"/>
  <c r="O105" i="1" s="1"/>
  <c r="P105" i="1" s="1"/>
  <c r="M102" i="1"/>
  <c r="L102" i="1"/>
  <c r="K102" i="1"/>
  <c r="J102" i="1"/>
  <c r="I102" i="1"/>
  <c r="H102" i="1"/>
  <c r="N102" i="1" s="1"/>
  <c r="M100" i="1"/>
  <c r="L100" i="1"/>
  <c r="K100" i="1"/>
  <c r="J100" i="1"/>
  <c r="I100" i="1"/>
  <c r="H100" i="1"/>
  <c r="N100" i="1" s="1"/>
  <c r="M99" i="1"/>
  <c r="L99" i="1"/>
  <c r="K99" i="1"/>
  <c r="J99" i="1"/>
  <c r="I99" i="1"/>
  <c r="H99" i="1"/>
  <c r="N99" i="1" s="1"/>
  <c r="M98" i="1"/>
  <c r="L98" i="1"/>
  <c r="K98" i="1"/>
  <c r="J98" i="1"/>
  <c r="I98" i="1"/>
  <c r="H98" i="1"/>
  <c r="M96" i="1"/>
  <c r="L96" i="1"/>
  <c r="K96" i="1"/>
  <c r="J96" i="1"/>
  <c r="I96" i="1"/>
  <c r="H96" i="1"/>
  <c r="N96" i="1" s="1"/>
  <c r="M95" i="1"/>
  <c r="L95" i="1"/>
  <c r="K95" i="1"/>
  <c r="J95" i="1"/>
  <c r="I95" i="1"/>
  <c r="H95" i="1"/>
  <c r="M93" i="1"/>
  <c r="L93" i="1"/>
  <c r="K93" i="1"/>
  <c r="J93" i="1"/>
  <c r="I93" i="1"/>
  <c r="H93" i="1"/>
  <c r="N93" i="1" s="1"/>
  <c r="M92" i="1"/>
  <c r="L92" i="1"/>
  <c r="K92" i="1"/>
  <c r="J92" i="1"/>
  <c r="I92" i="1"/>
  <c r="H92" i="1"/>
  <c r="M90" i="1"/>
  <c r="L90" i="1"/>
  <c r="K90" i="1"/>
  <c r="J90" i="1"/>
  <c r="I90" i="1"/>
  <c r="H90" i="1"/>
  <c r="N90" i="1" s="1"/>
  <c r="M89" i="1"/>
  <c r="L89" i="1"/>
  <c r="K89" i="1"/>
  <c r="J89" i="1"/>
  <c r="I89" i="1"/>
  <c r="H89" i="1"/>
  <c r="M87" i="1"/>
  <c r="L87" i="1"/>
  <c r="K87" i="1"/>
  <c r="J87" i="1"/>
  <c r="I87" i="1"/>
  <c r="H87" i="1"/>
  <c r="N87" i="1" s="1"/>
  <c r="M85" i="1"/>
  <c r="L85" i="1"/>
  <c r="K85" i="1"/>
  <c r="J85" i="1"/>
  <c r="I85" i="1"/>
  <c r="H85" i="1"/>
  <c r="M84" i="1"/>
  <c r="L84" i="1"/>
  <c r="K84" i="1"/>
  <c r="J84" i="1"/>
  <c r="I84" i="1"/>
  <c r="H84" i="1"/>
  <c r="N84" i="1" s="1"/>
  <c r="M83" i="1"/>
  <c r="L83" i="1"/>
  <c r="K83" i="1"/>
  <c r="J83" i="1"/>
  <c r="I83" i="1"/>
  <c r="H83" i="1"/>
  <c r="M81" i="1"/>
  <c r="L81" i="1"/>
  <c r="K81" i="1"/>
  <c r="J81" i="1"/>
  <c r="I81" i="1"/>
  <c r="H81" i="1"/>
  <c r="N81" i="1" s="1"/>
  <c r="M80" i="1"/>
  <c r="L80" i="1"/>
  <c r="K80" i="1"/>
  <c r="J80" i="1"/>
  <c r="I80" i="1"/>
  <c r="H80" i="1"/>
  <c r="M77" i="1"/>
  <c r="L77" i="1"/>
  <c r="K77" i="1"/>
  <c r="J77" i="1"/>
  <c r="I77" i="1"/>
  <c r="H77" i="1"/>
  <c r="N77" i="1" s="1"/>
  <c r="M73" i="1"/>
  <c r="L73" i="1"/>
  <c r="K73" i="1"/>
  <c r="J73" i="1"/>
  <c r="I73" i="1"/>
  <c r="H73" i="1"/>
  <c r="M71" i="1"/>
  <c r="L71" i="1"/>
  <c r="K71" i="1"/>
  <c r="J71" i="1"/>
  <c r="I71" i="1"/>
  <c r="H71" i="1"/>
  <c r="N71" i="1" s="1"/>
  <c r="M69" i="1"/>
  <c r="L69" i="1"/>
  <c r="K69" i="1"/>
  <c r="J69" i="1"/>
  <c r="I69" i="1"/>
  <c r="H69" i="1"/>
  <c r="M68" i="1"/>
  <c r="L68" i="1"/>
  <c r="K68" i="1"/>
  <c r="J68" i="1"/>
  <c r="I68" i="1"/>
  <c r="H68" i="1"/>
  <c r="N68" i="1" s="1"/>
  <c r="M65" i="1"/>
  <c r="L65" i="1"/>
  <c r="K65" i="1"/>
  <c r="J65" i="1"/>
  <c r="I65" i="1"/>
  <c r="H65" i="1"/>
  <c r="M64" i="1"/>
  <c r="L64" i="1"/>
  <c r="K64" i="1"/>
  <c r="J64" i="1"/>
  <c r="I64" i="1"/>
  <c r="H64" i="1"/>
  <c r="N64" i="1" s="1"/>
  <c r="M62" i="1"/>
  <c r="L62" i="1"/>
  <c r="K62" i="1"/>
  <c r="J62" i="1"/>
  <c r="I62" i="1"/>
  <c r="H62" i="1"/>
  <c r="M59" i="1"/>
  <c r="L59" i="1"/>
  <c r="K59" i="1"/>
  <c r="J59" i="1"/>
  <c r="I59" i="1"/>
  <c r="H59" i="1"/>
  <c r="N59" i="1" s="1"/>
  <c r="M55" i="1"/>
  <c r="L55" i="1"/>
  <c r="K55" i="1"/>
  <c r="J55" i="1"/>
  <c r="I55" i="1"/>
  <c r="H55" i="1"/>
  <c r="M54" i="1"/>
  <c r="L54" i="1"/>
  <c r="K54" i="1"/>
  <c r="J54" i="1"/>
  <c r="I54" i="1"/>
  <c r="H54" i="1"/>
  <c r="N54" i="1" s="1"/>
  <c r="M53" i="1"/>
  <c r="L53" i="1"/>
  <c r="K53" i="1"/>
  <c r="J53" i="1"/>
  <c r="I53" i="1"/>
  <c r="H53" i="1"/>
  <c r="M52" i="1"/>
  <c r="L52" i="1"/>
  <c r="K52" i="1"/>
  <c r="J52" i="1"/>
  <c r="I52" i="1"/>
  <c r="H52" i="1"/>
  <c r="N52" i="1" s="1"/>
  <c r="M51" i="1"/>
  <c r="L51" i="1"/>
  <c r="K51" i="1"/>
  <c r="J51" i="1"/>
  <c r="I51" i="1"/>
  <c r="H51" i="1"/>
  <c r="M49" i="1"/>
  <c r="L49" i="1"/>
  <c r="K49" i="1"/>
  <c r="J49" i="1"/>
  <c r="I49" i="1"/>
  <c r="H49" i="1"/>
  <c r="N49" i="1" s="1"/>
  <c r="M46" i="1"/>
  <c r="L46" i="1"/>
  <c r="K46" i="1"/>
  <c r="J46" i="1"/>
  <c r="I46" i="1"/>
  <c r="H46" i="1"/>
  <c r="M43" i="1"/>
  <c r="L43" i="1"/>
  <c r="K43" i="1"/>
  <c r="J43" i="1"/>
  <c r="I43" i="1"/>
  <c r="H43" i="1"/>
  <c r="N43" i="1" s="1"/>
  <c r="M41" i="1"/>
  <c r="L41" i="1"/>
  <c r="K41" i="1"/>
  <c r="J41" i="1"/>
  <c r="I41" i="1"/>
  <c r="H41" i="1"/>
  <c r="M40" i="1"/>
  <c r="L40" i="1"/>
  <c r="K40" i="1"/>
  <c r="J40" i="1"/>
  <c r="I40" i="1"/>
  <c r="H40" i="1"/>
  <c r="N40" i="1" s="1"/>
  <c r="M38" i="1"/>
  <c r="L38" i="1"/>
  <c r="K38" i="1"/>
  <c r="J38" i="1"/>
  <c r="I38" i="1"/>
  <c r="H38" i="1"/>
  <c r="M35" i="1"/>
  <c r="L35" i="1"/>
  <c r="K35" i="1"/>
  <c r="J35" i="1"/>
  <c r="I35" i="1"/>
  <c r="H35" i="1"/>
  <c r="N35" i="1" s="1"/>
  <c r="M33" i="1"/>
  <c r="L33" i="1"/>
  <c r="K33" i="1"/>
  <c r="J33" i="1"/>
  <c r="I33" i="1"/>
  <c r="H33" i="1"/>
  <c r="M30" i="1"/>
  <c r="L30" i="1"/>
  <c r="K30" i="1"/>
  <c r="J30" i="1"/>
  <c r="I30" i="1"/>
  <c r="H30" i="1"/>
  <c r="N30" i="1" s="1"/>
  <c r="M29" i="1"/>
  <c r="L29" i="1"/>
  <c r="K29" i="1"/>
  <c r="J29" i="1"/>
  <c r="I29" i="1"/>
  <c r="H29" i="1"/>
  <c r="M26" i="1"/>
  <c r="L26" i="1"/>
  <c r="K26" i="1"/>
  <c r="J26" i="1"/>
  <c r="I26" i="1"/>
  <c r="H26" i="1"/>
  <c r="N26" i="1" s="1"/>
  <c r="M24" i="1"/>
  <c r="L24" i="1"/>
  <c r="K24" i="1"/>
  <c r="J24" i="1"/>
  <c r="I24" i="1"/>
  <c r="H24" i="1"/>
  <c r="M22" i="1"/>
  <c r="L22" i="1"/>
  <c r="K22" i="1"/>
  <c r="J22" i="1"/>
  <c r="I22" i="1"/>
  <c r="H22" i="1"/>
  <c r="N22" i="1" s="1"/>
  <c r="M17" i="1"/>
  <c r="M164" i="1" s="1"/>
  <c r="L17" i="1"/>
  <c r="L164" i="1" s="1"/>
  <c r="K17" i="1"/>
  <c r="K164" i="1" s="1"/>
  <c r="J17" i="1"/>
  <c r="I17" i="1"/>
  <c r="H17" i="1"/>
  <c r="H164" i="1" s="1"/>
  <c r="M16" i="1"/>
  <c r="L16" i="1"/>
  <c r="K16" i="1"/>
  <c r="J16" i="1"/>
  <c r="I16" i="1"/>
  <c r="H16" i="1"/>
  <c r="M15" i="1"/>
  <c r="L15" i="1"/>
  <c r="K15" i="1"/>
  <c r="J15" i="1"/>
  <c r="I15" i="1"/>
  <c r="H15" i="1"/>
  <c r="M14" i="1"/>
  <c r="L14" i="1"/>
  <c r="K14" i="1"/>
  <c r="J14" i="1"/>
  <c r="I14" i="1"/>
  <c r="H14" i="1"/>
  <c r="M13" i="1"/>
  <c r="L13" i="1"/>
  <c r="K13" i="1"/>
  <c r="J13" i="1"/>
  <c r="I13" i="1"/>
  <c r="H13" i="1"/>
  <c r="M12" i="1"/>
  <c r="L12" i="1"/>
  <c r="K12" i="1"/>
  <c r="J12" i="1"/>
  <c r="I12" i="1"/>
  <c r="H12" i="1"/>
  <c r="I164" i="1" l="1"/>
  <c r="N196" i="1"/>
  <c r="O196" i="1" s="1"/>
  <c r="P196" i="1" s="1"/>
  <c r="P230" i="1"/>
  <c r="N298" i="1"/>
  <c r="O298" i="1" s="1"/>
  <c r="P298" i="1" s="1"/>
  <c r="N302" i="1"/>
  <c r="O302" i="1" s="1"/>
  <c r="P302" i="1" s="1"/>
  <c r="N307" i="1"/>
  <c r="O307" i="1" s="1"/>
  <c r="P307" i="1" s="1"/>
  <c r="N311" i="1"/>
  <c r="O311" i="1" s="1"/>
  <c r="P311" i="1" s="1"/>
  <c r="N427" i="1"/>
  <c r="O427" i="1" s="1"/>
  <c r="N429" i="1"/>
  <c r="O429" i="1" s="1"/>
  <c r="P429" i="1" s="1"/>
  <c r="N431" i="1"/>
  <c r="O431" i="1" s="1"/>
  <c r="P431" i="1" s="1"/>
  <c r="N433" i="1"/>
  <c r="O433" i="1" s="1"/>
  <c r="P433" i="1" s="1"/>
  <c r="N435" i="1"/>
  <c r="O435" i="1" s="1"/>
  <c r="P435" i="1" s="1"/>
  <c r="P378" i="1"/>
  <c r="N12" i="1"/>
  <c r="O12" i="1" s="1"/>
  <c r="P12" i="1" s="1"/>
  <c r="N14" i="1"/>
  <c r="O14" i="1" s="1"/>
  <c r="P14" i="1" s="1"/>
  <c r="N16" i="1"/>
  <c r="O16" i="1" s="1"/>
  <c r="P16" i="1" s="1"/>
  <c r="J164" i="1"/>
  <c r="N106" i="1"/>
  <c r="O106" i="1" s="1"/>
  <c r="P106" i="1" s="1"/>
  <c r="N108" i="1"/>
  <c r="O108" i="1" s="1"/>
  <c r="P108" i="1" s="1"/>
  <c r="N110" i="1"/>
  <c r="O110" i="1" s="1"/>
  <c r="P110" i="1" s="1"/>
  <c r="N112" i="1"/>
  <c r="O112" i="1" s="1"/>
  <c r="P112" i="1" s="1"/>
  <c r="N115" i="1"/>
  <c r="O115" i="1" s="1"/>
  <c r="P115" i="1" s="1"/>
  <c r="N117" i="1"/>
  <c r="O117" i="1" s="1"/>
  <c r="P117" i="1" s="1"/>
  <c r="N119" i="1"/>
  <c r="O119" i="1" s="1"/>
  <c r="P119" i="1" s="1"/>
  <c r="N147" i="1"/>
  <c r="O147" i="1" s="1"/>
  <c r="P147" i="1" s="1"/>
  <c r="N149" i="1"/>
  <c r="O149" i="1" s="1"/>
  <c r="P149" i="1" s="1"/>
  <c r="N151" i="1"/>
  <c r="O151" i="1" s="1"/>
  <c r="P151" i="1" s="1"/>
  <c r="I315" i="1"/>
  <c r="N15" i="1"/>
  <c r="O15" i="1" s="1"/>
  <c r="P15" i="1" s="1"/>
  <c r="N24" i="1"/>
  <c r="N33" i="1"/>
  <c r="N41" i="1"/>
  <c r="N51" i="1"/>
  <c r="N55" i="1"/>
  <c r="N65" i="1"/>
  <c r="N73" i="1"/>
  <c r="N83" i="1"/>
  <c r="N89" i="1"/>
  <c r="N95" i="1"/>
  <c r="N13" i="1"/>
  <c r="O13" i="1" s="1"/>
  <c r="P13" i="1" s="1"/>
  <c r="N29" i="1"/>
  <c r="N38" i="1"/>
  <c r="N46" i="1"/>
  <c r="N53" i="1"/>
  <c r="N62" i="1"/>
  <c r="N69" i="1"/>
  <c r="N80" i="1"/>
  <c r="N85" i="1"/>
  <c r="N92" i="1"/>
  <c r="N98" i="1"/>
  <c r="H437" i="1"/>
  <c r="N465" i="1"/>
  <c r="H469" i="1"/>
  <c r="N540" i="1"/>
  <c r="P539" i="1"/>
  <c r="N159" i="1"/>
  <c r="N171" i="1"/>
  <c r="N177" i="1"/>
  <c r="N182" i="1"/>
  <c r="N188" i="1"/>
  <c r="N194" i="1"/>
  <c r="O194" i="1" s="1"/>
  <c r="P194" i="1" s="1"/>
  <c r="N204" i="1"/>
  <c r="N212" i="1"/>
  <c r="N216" i="1"/>
  <c r="N222" i="1"/>
  <c r="N227" i="1"/>
  <c r="N232" i="1"/>
  <c r="O232" i="1" s="1"/>
  <c r="P232" i="1" s="1"/>
  <c r="N238" i="1"/>
  <c r="N246" i="1"/>
  <c r="N253" i="1"/>
  <c r="N260" i="1"/>
  <c r="N266" i="1"/>
  <c r="N271" i="1"/>
  <c r="N277" i="1"/>
  <c r="N283" i="1"/>
  <c r="N290" i="1"/>
  <c r="N296" i="1"/>
  <c r="O296" i="1" s="1"/>
  <c r="P296" i="1" s="1"/>
  <c r="N300" i="1"/>
  <c r="O300" i="1" s="1"/>
  <c r="P300" i="1" s="1"/>
  <c r="N305" i="1"/>
  <c r="O305" i="1" s="1"/>
  <c r="P305" i="1" s="1"/>
  <c r="N309" i="1"/>
  <c r="O309" i="1" s="1"/>
  <c r="P309" i="1" s="1"/>
  <c r="J398" i="1"/>
  <c r="N323" i="1"/>
  <c r="N328" i="1"/>
  <c r="N334" i="1"/>
  <c r="N340" i="1"/>
  <c r="N348" i="1"/>
  <c r="N354" i="1"/>
  <c r="N360" i="1"/>
  <c r="N368" i="1"/>
  <c r="N376" i="1"/>
  <c r="N381" i="1"/>
  <c r="O381" i="1" s="1"/>
  <c r="P381" i="1" s="1"/>
  <c r="N386" i="1"/>
  <c r="N392" i="1"/>
  <c r="N510" i="1"/>
  <c r="P510" i="1" s="1"/>
  <c r="I510" i="1"/>
  <c r="H510" i="1"/>
  <c r="N170" i="1"/>
  <c r="N180" i="1"/>
  <c r="N186" i="1"/>
  <c r="N193" i="1"/>
  <c r="O193" i="1" s="1"/>
  <c r="N197" i="1"/>
  <c r="O197" i="1" s="1"/>
  <c r="P197" i="1" s="1"/>
  <c r="N203" i="1"/>
  <c r="N215" i="1"/>
  <c r="N220" i="1"/>
  <c r="N226" i="1"/>
  <c r="N231" i="1"/>
  <c r="O231" i="1" s="1"/>
  <c r="P231" i="1" s="1"/>
  <c r="N235" i="1"/>
  <c r="O235" i="1" s="1"/>
  <c r="P235" i="1" s="1"/>
  <c r="N244" i="1"/>
  <c r="N251" i="1"/>
  <c r="N259" i="1"/>
  <c r="N263" i="1"/>
  <c r="N269" i="1"/>
  <c r="N276" i="1"/>
  <c r="N281" i="1"/>
  <c r="N289" i="1"/>
  <c r="N295" i="1"/>
  <c r="O295" i="1" s="1"/>
  <c r="P295" i="1" s="1"/>
  <c r="N299" i="1"/>
  <c r="O299" i="1" s="1"/>
  <c r="P299" i="1" s="1"/>
  <c r="N304" i="1"/>
  <c r="O304" i="1" s="1"/>
  <c r="P304" i="1" s="1"/>
  <c r="N308" i="1"/>
  <c r="O308" i="1" s="1"/>
  <c r="P308" i="1" s="1"/>
  <c r="N314" i="1"/>
  <c r="K398" i="1"/>
  <c r="N322" i="1"/>
  <c r="N327" i="1"/>
  <c r="N333" i="1"/>
  <c r="N339" i="1"/>
  <c r="N347" i="1"/>
  <c r="N353" i="1"/>
  <c r="N358" i="1"/>
  <c r="N367" i="1"/>
  <c r="N372" i="1"/>
  <c r="N380" i="1"/>
  <c r="O380" i="1" s="1"/>
  <c r="P380" i="1" s="1"/>
  <c r="N384" i="1"/>
  <c r="O384" i="1" s="1"/>
  <c r="P384" i="1" s="1"/>
  <c r="N391" i="1"/>
  <c r="L437" i="1"/>
  <c r="P476" i="1"/>
  <c r="P490" i="1" s="1"/>
  <c r="N490" i="1"/>
  <c r="H490" i="1"/>
  <c r="N17" i="1"/>
  <c r="O17" i="1" s="1"/>
  <c r="N198" i="1"/>
  <c r="O198" i="1" s="1"/>
  <c r="P198" i="1" s="1"/>
  <c r="N325" i="1"/>
  <c r="N332" i="1"/>
  <c r="N337" i="1"/>
  <c r="N345" i="1"/>
  <c r="N352" i="1"/>
  <c r="N357" i="1"/>
  <c r="N364" i="1"/>
  <c r="N371" i="1"/>
  <c r="N379" i="1"/>
  <c r="O379" i="1" s="1"/>
  <c r="P379" i="1" s="1"/>
  <c r="N383" i="1"/>
  <c r="O383" i="1" s="1"/>
  <c r="P383" i="1" s="1"/>
  <c r="N390" i="1"/>
  <c r="H445" i="1"/>
  <c r="P519" i="1"/>
  <c r="P523" i="1" s="1"/>
  <c r="N523" i="1"/>
  <c r="H206" i="1"/>
  <c r="H315" i="1"/>
  <c r="H398" i="1"/>
  <c r="P445" i="1"/>
  <c r="N445" i="1"/>
  <c r="P451" i="1"/>
  <c r="P459" i="1" s="1"/>
  <c r="N459" i="1"/>
  <c r="H459" i="1"/>
  <c r="H513" i="1"/>
  <c r="N495" i="1"/>
  <c r="L513" i="1"/>
  <c r="J523" i="1"/>
  <c r="N528" i="1"/>
  <c r="N533" i="1"/>
  <c r="J437" i="1"/>
  <c r="N437" i="1" l="1"/>
  <c r="P398" i="1"/>
  <c r="P164" i="1"/>
  <c r="O315" i="1"/>
  <c r="O398" i="1"/>
  <c r="P17" i="1"/>
  <c r="O164" i="1"/>
  <c r="P193" i="1"/>
  <c r="O206" i="1"/>
  <c r="P427" i="1"/>
  <c r="P437" i="1" s="1"/>
  <c r="O437" i="1"/>
  <c r="N536" i="1"/>
  <c r="P533" i="1"/>
  <c r="P536" i="1" s="1"/>
  <c r="P495" i="1"/>
  <c r="N513" i="1"/>
  <c r="P528" i="1"/>
  <c r="P530" i="1" s="1"/>
  <c r="N530" i="1"/>
  <c r="N206" i="1"/>
  <c r="N315" i="1"/>
  <c r="P315" i="1"/>
  <c r="N164" i="1"/>
  <c r="P206" i="1"/>
  <c r="P465" i="1"/>
  <c r="P469" i="1" s="1"/>
  <c r="N469" i="1"/>
  <c r="N398" i="1"/>
</calcChain>
</file>

<file path=xl/sharedStrings.xml><?xml version="1.0" encoding="utf-8"?>
<sst xmlns="http://schemas.openxmlformats.org/spreadsheetml/2006/main" count="1337" uniqueCount="1143">
  <si>
    <t>Утверждаю</t>
  </si>
  <si>
    <t>Директор ООО УК ЖКХ "Авиастроительного района"</t>
  </si>
  <si>
    <t>Смета расходов на двенадцатиэтажный жилой дом с плоской крышей</t>
  </si>
  <si>
    <t>№ ПП</t>
  </si>
  <si>
    <t>КОД</t>
  </si>
  <si>
    <t>НАЗВАНИЕ РАБОТЫ</t>
  </si>
  <si>
    <t>ИЗМЕРИТЕЛЬ</t>
  </si>
  <si>
    <t>КОЛ-ВО ЕД. ИЗМ.</t>
  </si>
  <si>
    <t>ПЕРИОДИЧ- НОСТЬ В ГОД</t>
  </si>
  <si>
    <t>ТРУД. РЕСУРСЫ, РУБ.</t>
  </si>
  <si>
    <t>МАТЕР. РЕСУРСЫ, РУБ.</t>
  </si>
  <si>
    <t>МАШ. МЕХ., РУБ.</t>
  </si>
  <si>
    <t>НАКЛ. РАСХОДЫ, РУБ.</t>
  </si>
  <si>
    <t>ПРИБЫЛЬ, РУБ.</t>
  </si>
  <si>
    <t>РАСХОДЫ НА УПРАВ., РУБ.</t>
  </si>
  <si>
    <t>СТОИМОСТЬ, РУБ.</t>
  </si>
  <si>
    <t>НА КВ.М/МЕС</t>
  </si>
  <si>
    <t>Техническое обслуживание и ремонт жилого здания</t>
  </si>
  <si>
    <t>Дата изменения:</t>
  </si>
  <si>
    <t>Общая площадь, кв.м:</t>
  </si>
  <si>
    <t>1.1</t>
  </si>
  <si>
    <t>Фундаменты</t>
  </si>
  <si>
    <t>1.1.4</t>
  </si>
  <si>
    <t>Прочистка внутридомовых и наружных  дренажей</t>
  </si>
  <si>
    <t>1 пролет</t>
  </si>
  <si>
    <t>1.1.8</t>
  </si>
  <si>
    <t>Восстановление (ремонт)  решеток на  продухах  фундамента</t>
  </si>
  <si>
    <t>100 решеток</t>
  </si>
  <si>
    <t>1.1.9</t>
  </si>
  <si>
    <t>Восстановление (ремонт)  приямков</t>
  </si>
  <si>
    <t>кв.м. приямка</t>
  </si>
  <si>
    <t>1.1.10</t>
  </si>
  <si>
    <t>Восстановление (ремонт) отмостки</t>
  </si>
  <si>
    <t>100 м2 отмостки</t>
  </si>
  <si>
    <t>1.1.12</t>
  </si>
  <si>
    <t>Восстановление (ремонт) вводов инженерных коммуникаций   в подвальные  помещения  через  фундаменты</t>
  </si>
  <si>
    <t>100 шт.</t>
  </si>
  <si>
    <t>1.1.14</t>
  </si>
  <si>
    <t>Заделка на зиму вентиляционных продухов</t>
  </si>
  <si>
    <t>1 место</t>
  </si>
  <si>
    <t>1.2</t>
  </si>
  <si>
    <t>Кирпичные, каменные и железобетонные стены</t>
  </si>
  <si>
    <t>1.2.1</t>
  </si>
  <si>
    <t>Устранение повреждений стен, в том числе в подвалах и чердаках</t>
  </si>
  <si>
    <t>1.2.1.2</t>
  </si>
  <si>
    <t>Устранение  повреждений крупноблочных и панельных стен, в том  числе в  подвалах и  чердаках</t>
  </si>
  <si>
    <t>1.2.1.2.1</t>
  </si>
  <si>
    <t>Заделка отверстий в бетонных и железобетонных стенах и перегородках</t>
  </si>
  <si>
    <t>1.2.1.2.1.1</t>
  </si>
  <si>
    <t>Заделка отверстий в бетонных и железобетонных стенах и перегородках с площадью отверстий до 0,1 кв.м и глубиной до 100 мм</t>
  </si>
  <si>
    <t>100 отверстий</t>
  </si>
  <si>
    <t>1.2.3</t>
  </si>
  <si>
    <t>Модернизация теплоизоляции стен</t>
  </si>
  <si>
    <t>1.2.3.2</t>
  </si>
  <si>
    <t>Устройство теплоизоляции фасадов зданий, теплоизоляция плитами из пенополистирола на клее с креплением дюбелями с лесов при толщине утеплителя 100 мм (по кирпичу и бетону)</t>
  </si>
  <si>
    <t>100 м2</t>
  </si>
  <si>
    <t>1.2.4</t>
  </si>
  <si>
    <t>Создание,  восстановление или модернизация гидроизоляции стен</t>
  </si>
  <si>
    <t>1.2.4.2</t>
  </si>
  <si>
    <t>Восстановление  горизонтальной гидроизоляции с использованием рулонных материалов и мастик вручную</t>
  </si>
  <si>
    <t>100 м2 сменяемого покрытия</t>
  </si>
  <si>
    <t>1.2.9</t>
  </si>
  <si>
    <t>Восстановление (ремонт) разрушений и  повреждений отделочного   слоя</t>
  </si>
  <si>
    <t>1.2.9.4</t>
  </si>
  <si>
    <t>Ремонт обыкновенной штукатурки кирпичных и бетонных фасадов</t>
  </si>
  <si>
    <t>1.2.9.4.1</t>
  </si>
  <si>
    <t>Ремонт обыкновенной штукатурки гладких каменных фасадов</t>
  </si>
  <si>
    <t>100 м2 отремонтированной поверхности</t>
  </si>
  <si>
    <t>1.2.9.4.2</t>
  </si>
  <si>
    <t>Ремонт обыкновенной штукатурки гладких бетонных  фасадов</t>
  </si>
  <si>
    <t>1.2.11</t>
  </si>
  <si>
    <t>Герметизация, теплоизоляция межпанельных и иных швов</t>
  </si>
  <si>
    <t>1.2.11.1</t>
  </si>
  <si>
    <t>Заделка и герметизация швов и стыков</t>
  </si>
  <si>
    <t>1.2.11.1.2</t>
  </si>
  <si>
    <t>Заделка и герметизация швов и стыков в местах примыкания балконных плит к стенам</t>
  </si>
  <si>
    <t>на 10 м шва (стыка)</t>
  </si>
  <si>
    <t>1.2.11.5</t>
  </si>
  <si>
    <t>Ремонт и восстановление герметизации горизонтальных и вертикальных стыков стеновых панелей</t>
  </si>
  <si>
    <t>1.2.11.5.1</t>
  </si>
  <si>
    <t>Ремонт и восстановление герметизации горизонтальных и вертикальных стыков стеновых панелей мастикой вулканизирующейся тиоколовой или монтажной пеной</t>
  </si>
  <si>
    <t>100 м восстановленной герметизации стыков</t>
  </si>
  <si>
    <t>1.2.12</t>
  </si>
  <si>
    <t>Окраска  фасадов</t>
  </si>
  <si>
    <t>1.2.12.4</t>
  </si>
  <si>
    <t>Окрашивание фасадов силикатными красками</t>
  </si>
  <si>
    <t>1.2.12.4.1</t>
  </si>
  <si>
    <t>Окрашивание гладких кирпичных фасадов силикатными красками</t>
  </si>
  <si>
    <t>100 м2 обработанной поверхности</t>
  </si>
  <si>
    <t>1.2.13</t>
  </si>
  <si>
    <t>Устранение причин и  последствий коррозионного повреждения закладных деталей и арматуры</t>
  </si>
  <si>
    <t>1.2.13.2</t>
  </si>
  <si>
    <t>Удаление железистых включений</t>
  </si>
  <si>
    <t>100 железистых включений</t>
  </si>
  <si>
    <t>1.2.13.4</t>
  </si>
  <si>
    <t>Оштукатуривание  участков с обнаженной арматурой и закладными деталями бетонных  стен</t>
  </si>
  <si>
    <t>1.2.15</t>
  </si>
  <si>
    <t>Восстановление (ремонт) стальных деталей крепления (кронштейны  пожарных  лестниц,  флагодержатели и др.)</t>
  </si>
  <si>
    <t>1.2.15.1</t>
  </si>
  <si>
    <t>Замена кронштейнов пожарных лестниц</t>
  </si>
  <si>
    <t>100 креплений</t>
  </si>
  <si>
    <t>1.2.16</t>
  </si>
  <si>
    <t>Защита стальных элементов от коррозии (поясков, выступов, парапетов, оконных и балконных отливов, закладных деталей)</t>
  </si>
  <si>
    <t>1.2.16.1</t>
  </si>
  <si>
    <t>Окраска алюминиевым порошком ранее окрашенных металлических поверхностей</t>
  </si>
  <si>
    <t>1.2.16.1.6</t>
  </si>
  <si>
    <t>Окраска алюминиевым порошком ранее окрашенных металлических поверхностей за 2 раза с подвесных люлек</t>
  </si>
  <si>
    <t>100 м2 окрашенной поверхности</t>
  </si>
  <si>
    <t>1.2.17</t>
  </si>
  <si>
    <t>Окраска стен  помещений  общего  пользования</t>
  </si>
  <si>
    <t>1.2.17.4</t>
  </si>
  <si>
    <t>Окрашивание поверхностей стен водоэмульсионными составами</t>
  </si>
  <si>
    <t>1.2.17.4.3</t>
  </si>
  <si>
    <t>Окрашивание водоэмульсионными составами поверхностей стен, ранее окрашенных водоэмульсионной краской с расчисткой старой краски более 35%</t>
  </si>
  <si>
    <t>100 м2 окрашиваемой поверхности</t>
  </si>
  <si>
    <t>1.2.18</t>
  </si>
  <si>
    <t>Внутренняя отделка зданий</t>
  </si>
  <si>
    <t>1.2.18.1</t>
  </si>
  <si>
    <t>Ремонт внутренней штукатурки потолков отдельными местами</t>
  </si>
  <si>
    <t>100 кв. м</t>
  </si>
  <si>
    <t>1.2.18.3</t>
  </si>
  <si>
    <t>Перетирка штукатурки поверхности потолков</t>
  </si>
  <si>
    <t>100 кв.м</t>
  </si>
  <si>
    <t>1.2.18.11</t>
  </si>
  <si>
    <t>Окрашивание водоэмульсионными составами поверхностей потолков, ранее окрашенных водоэмульсионной краской с расчисткой старой краски более 35%</t>
  </si>
  <si>
    <t>1.2.18.12</t>
  </si>
  <si>
    <t>Перетирка штукатурки поверхностей стен и перегородок</t>
  </si>
  <si>
    <t>100 м2 поверхности</t>
  </si>
  <si>
    <t>1.2.19</t>
  </si>
  <si>
    <t>Установка групповых металлических почтовых ящиков на 6 отделений</t>
  </si>
  <si>
    <t>1 ящик</t>
  </si>
  <si>
    <t>1.5</t>
  </si>
  <si>
    <t>Перекрытия</t>
  </si>
  <si>
    <t>1.5.1</t>
  </si>
  <si>
    <t>Устранение  повреждений перекрытий</t>
  </si>
  <si>
    <t>1.5.1.2</t>
  </si>
  <si>
    <t>Заделка борозд в бетонных перекрытиях</t>
  </si>
  <si>
    <t>1.5.1.2.3</t>
  </si>
  <si>
    <t>Заделка борозд на потолках  бетонных перекрытий при сечении 10х10</t>
  </si>
  <si>
    <t>1 м3 заделки</t>
  </si>
  <si>
    <t>1.6</t>
  </si>
  <si>
    <t>Полы</t>
  </si>
  <si>
    <t>1.6.1</t>
  </si>
  <si>
    <t>Устранение  повреждений  полов в  местах  общего  пользования  многоквартирного дома</t>
  </si>
  <si>
    <t>1.6.1.1</t>
  </si>
  <si>
    <t>Заделка выбоин в цементных полах</t>
  </si>
  <si>
    <t>кв.м.</t>
  </si>
  <si>
    <t>1.6.4</t>
  </si>
  <si>
    <t>Ремонт полов</t>
  </si>
  <si>
    <t>1.6.4.4</t>
  </si>
  <si>
    <t>Ремонт бетонных полов</t>
  </si>
  <si>
    <t>1.6.4.5</t>
  </si>
  <si>
    <t>Ремонт поверхности цементных полов</t>
  </si>
  <si>
    <t>1.7</t>
  </si>
  <si>
    <t>Перегородки</t>
  </si>
  <si>
    <t>1.7.1</t>
  </si>
  <si>
    <t>Восстановление (ремонт),  модернизация  звукоизоляционных  свойств   перегородок</t>
  </si>
  <si>
    <t>1.7.1.5</t>
  </si>
  <si>
    <t>Заделка трещин, отверстий в кирпичных перегородках цементным раствором</t>
  </si>
  <si>
    <t>10 м трещин</t>
  </si>
  <si>
    <t>1.7.1.8</t>
  </si>
  <si>
    <t>Смена поврежденной обшивки перегородок звукоизоляционными плитами</t>
  </si>
  <si>
    <t>100 кв.м.</t>
  </si>
  <si>
    <t>1.7.4</t>
  </si>
  <si>
    <t>Устранение  повреждений  перегородок,  ликвидация  излишнего  наклона или  выпучивания  перегородок</t>
  </si>
  <si>
    <t>1.7.4.7</t>
  </si>
  <si>
    <t>Укрепление слабодержащихся кирпичей</t>
  </si>
  <si>
    <t> 1 м2  отремонтированной поверхности </t>
  </si>
  <si>
    <t>1.7.5</t>
  </si>
  <si>
    <t>Восстановление  облицовки  перегородок</t>
  </si>
  <si>
    <t>1.7.5.7</t>
  </si>
  <si>
    <t>Восстановление (ремонт) штукатурки кирпичных, железобетонных и гипсокартонных перегородок цементно-известковым раствором площадью отдельных мест до 1 кв.м.</t>
  </si>
  <si>
    <t>1.8</t>
  </si>
  <si>
    <t>Крыши и кровли</t>
  </si>
  <si>
    <t>1.8.1</t>
  </si>
  <si>
    <t>Устранение протечек кровли</t>
  </si>
  <si>
    <t>1.8.1.3</t>
  </si>
  <si>
    <t>Устранение  протечек рулонной кровли</t>
  </si>
  <si>
    <t>1.8.1.3.1</t>
  </si>
  <si>
    <t>Постановка заплат на покрытия из мягкой кровли</t>
  </si>
  <si>
    <t>100 м2 покрытий</t>
  </si>
  <si>
    <t>1.8.2</t>
  </si>
  <si>
    <t>Ремонт, модернизация кровли и крыши</t>
  </si>
  <si>
    <t>1.8.2.2</t>
  </si>
  <si>
    <t>Ремонт, модернизация рулонной кровли</t>
  </si>
  <si>
    <t>1.8.2.2.1</t>
  </si>
  <si>
    <t>Смена мягкой кровли в два слоя отдельными местами</t>
  </si>
  <si>
    <t>1.8.2.2.2</t>
  </si>
  <si>
    <t>Смена стальных разжелобков в рулонных  кровлях</t>
  </si>
  <si>
    <t>100 м разжелобка</t>
  </si>
  <si>
    <t>1.8.6</t>
  </si>
  <si>
    <t>Восстановление (ремонт)  продухов  вентиляции</t>
  </si>
  <si>
    <t>1.8.6.1</t>
  </si>
  <si>
    <t>Смена вентиляционной решетки</t>
  </si>
  <si>
    <t>10 решеток</t>
  </si>
  <si>
    <t>1.8.6.2</t>
  </si>
  <si>
    <t>Ремонт продухов вентиляции</t>
  </si>
  <si>
    <t>1.8.6.3</t>
  </si>
  <si>
    <t>Окраска продухов вентиляции</t>
  </si>
  <si>
    <t>1.8.7</t>
  </si>
  <si>
    <t>Восстановление (ремонт) дымовых и  вентиляционных труб</t>
  </si>
  <si>
    <t>1.8.7.6</t>
  </si>
  <si>
    <t>Оштукатуривание поверхности дымовых труб</t>
  </si>
  <si>
    <t xml:space="preserve">100 м2 поверхности </t>
  </si>
  <si>
    <t>1.8.9</t>
  </si>
  <si>
    <t>Восстановление (ремонт) выходов на крышу</t>
  </si>
  <si>
    <t>1.8.9.1</t>
  </si>
  <si>
    <t>Окраска масляными составами ранее окрашенных металлических лестниц и дверей на крышу за 1 раз</t>
  </si>
  <si>
    <t>1.8.9.3</t>
  </si>
  <si>
    <t>Ремонт поверхности кирпичных стен с расшивкой швов и толщиной заделки до 1/2 кирпича</t>
  </si>
  <si>
    <t>1.8.10</t>
  </si>
  <si>
    <t>Восстановление (ремонт) парапетов, архитектурных деталей и т.д.</t>
  </si>
  <si>
    <t>1.8.10.1</t>
  </si>
  <si>
    <t>Смена покрытия  парапетов или брандмауэров без обделки боковых сторон при ширине покрытия до 1 м</t>
  </si>
  <si>
    <t>100 м</t>
  </si>
  <si>
    <t>1.8.10.3</t>
  </si>
  <si>
    <t>Смена покрытия   зонтов и козырьков над крыльцами и подъездами</t>
  </si>
  <si>
    <t>100 м2 объема работ</t>
  </si>
  <si>
    <t>1.8.12</t>
  </si>
  <si>
    <t>Ремонт примыканий и заделка стыков</t>
  </si>
  <si>
    <t>1.8.12.1</t>
  </si>
  <si>
    <t>Смена обделок примыканий из листовой стали к каменным стенам</t>
  </si>
  <si>
    <t>1.8.12.4</t>
  </si>
  <si>
    <t>Смена обделок примыканий из листовой стали к  вытяжным  трубам длиной до 1 м</t>
  </si>
  <si>
    <t>100 труб</t>
  </si>
  <si>
    <t>1.8.13</t>
  </si>
  <si>
    <t>Ремонт, утепление дверей с лестничных площадок на чердак</t>
  </si>
  <si>
    <t>1.8.13.1</t>
  </si>
  <si>
    <t>Масляная окраска ранее окрашенных поверхностей</t>
  </si>
  <si>
    <t>1.8.13.2</t>
  </si>
  <si>
    <t>Восстановление тепловой изоляции дверей</t>
  </si>
  <si>
    <t>100 дверей</t>
  </si>
  <si>
    <t>1.8.13.3</t>
  </si>
  <si>
    <t>Замена обивки дверей стальным листом</t>
  </si>
  <si>
    <t>100  м2 двери</t>
  </si>
  <si>
    <t>1.8.14</t>
  </si>
  <si>
    <t>Утепление кровли</t>
  </si>
  <si>
    <t>1.8.14.2</t>
  </si>
  <si>
    <t>Утепление покрытий плитами из минеральной ваты или перлита на битумной мастике на каждый последующий слой толщиной 50 мм</t>
  </si>
  <si>
    <t>100 кв.м утепляемой поверхности</t>
  </si>
  <si>
    <t>1.9</t>
  </si>
  <si>
    <t>Оконные и дверные проемы</t>
  </si>
  <si>
    <t>1.9.1</t>
  </si>
  <si>
    <t>Восстановление (ремонт) дверей в помещениях  общего  пользования</t>
  </si>
  <si>
    <t>1.9.1.4</t>
  </si>
  <si>
    <t>Ремонт дверных коробок в узких каменных стенах</t>
  </si>
  <si>
    <t>10 коробок</t>
  </si>
  <si>
    <t>1.9.1.10</t>
  </si>
  <si>
    <t>Смена дверных петель при одной сменяемой петле в полотне</t>
  </si>
  <si>
    <t>10 петель</t>
  </si>
  <si>
    <t>1.9.1.11</t>
  </si>
  <si>
    <t>Смена дверных петель при двух сменяемых петлях в полотне</t>
  </si>
  <si>
    <t>1.9.1.15</t>
  </si>
  <si>
    <t>Укрепление наличников дверных проемов</t>
  </si>
  <si>
    <t>1 п.м. наличника</t>
  </si>
  <si>
    <t>1.9.1.17</t>
  </si>
  <si>
    <t>Смена ручки дверной</t>
  </si>
  <si>
    <t>1 ручка</t>
  </si>
  <si>
    <t>1.9.1.18</t>
  </si>
  <si>
    <t>Смена щеколды</t>
  </si>
  <si>
    <t>100 щеколд</t>
  </si>
  <si>
    <t>1.9.1.19</t>
  </si>
  <si>
    <t>Смена замков накладных</t>
  </si>
  <si>
    <t>100 замков</t>
  </si>
  <si>
    <t>1.9.1.20</t>
  </si>
  <si>
    <t>Смена замков врезных</t>
  </si>
  <si>
    <t>1.9.2</t>
  </si>
  <si>
    <t>Восстановление (ремонт)  окон в  помещениях общего  пользования</t>
  </si>
  <si>
    <t>1.9.2.4</t>
  </si>
  <si>
    <t>Ремонт оконных переплетов узких одинарных коробок</t>
  </si>
  <si>
    <t>10 створок</t>
  </si>
  <si>
    <t>1.9.2.11</t>
  </si>
  <si>
    <t>Смена оконных петель при двух сменяемых петлях в створке</t>
  </si>
  <si>
    <t>1.9.2.22</t>
  </si>
  <si>
    <t>Временная замена разбитого стекла фанерой</t>
  </si>
  <si>
    <t>10 кв.м.</t>
  </si>
  <si>
    <t>1.9.2.23</t>
  </si>
  <si>
    <t>Смена ручки оконной</t>
  </si>
  <si>
    <t>100 ручек</t>
  </si>
  <si>
    <t>1.9.2.24</t>
  </si>
  <si>
    <t>Смена задвижки</t>
  </si>
  <si>
    <t>100 задвижек</t>
  </si>
  <si>
    <t>1.9.2.26</t>
  </si>
  <si>
    <t>Улучшенная масляная окраска оконных рам</t>
  </si>
  <si>
    <t>1.9.2.33</t>
  </si>
  <si>
    <t>Остекление оконным стеклом окон в два переплета открывающихся в одну сторону</t>
  </si>
  <si>
    <t>100 м2 площади проемов по наружному обводу коробок</t>
  </si>
  <si>
    <t>1.10</t>
  </si>
  <si>
    <t>Лестницы</t>
  </si>
  <si>
    <t>1.10.1</t>
  </si>
  <si>
    <t>Ремонт  металлических косоуров</t>
  </si>
  <si>
    <t>1.10.1.2</t>
  </si>
  <si>
    <t>Оштукатуривание металлических косоуров</t>
  </si>
  <si>
    <t>100 м2 оштукатуренной поверхности</t>
  </si>
  <si>
    <t>1.10.3</t>
  </si>
  <si>
    <t>Ремонт  ограждений,  поручней и  предохранительных  сеток</t>
  </si>
  <si>
    <t>1.10.3.1</t>
  </si>
  <si>
    <t>Ремонт металлических лестничных решеток</t>
  </si>
  <si>
    <t>100 м решетки</t>
  </si>
  <si>
    <t>1.10.4</t>
  </si>
  <si>
    <t>Ремонт,  замена  перил</t>
  </si>
  <si>
    <t>1.10.4.1</t>
  </si>
  <si>
    <t>Смена отдельных частей поручней</t>
  </si>
  <si>
    <t>1.10.4.1.1</t>
  </si>
  <si>
    <t>Смена прямых  частей поручней</t>
  </si>
  <si>
    <t>1.10.4.1.2</t>
  </si>
  <si>
    <t>Смена закругленных  частей поручней</t>
  </si>
  <si>
    <t>1.10.5</t>
  </si>
  <si>
    <t>Окраска  металлических  элементов  лестниц</t>
  </si>
  <si>
    <t>1.10.5.2</t>
  </si>
  <si>
    <t>Окраска масляными составами ранее окрашенных металлических решеток без рельефа за 2 раза</t>
  </si>
  <si>
    <t xml:space="preserve"> 100 м2 окрашиваемой поверхности</t>
  </si>
  <si>
    <t>1.10.6</t>
  </si>
  <si>
    <t>Ремонт  пандусов</t>
  </si>
  <si>
    <t>1.10.6.1</t>
  </si>
  <si>
    <t>Заделка трещин и мелких выбоин</t>
  </si>
  <si>
    <t>100 мест</t>
  </si>
  <si>
    <t>1.10.7</t>
  </si>
  <si>
    <t>Прочие работы по ремонту лестниц</t>
  </si>
  <si>
    <t>1.10.7.1</t>
  </si>
  <si>
    <t>Окрашивание масляными составами торцов лестничных маршей и площадок</t>
  </si>
  <si>
    <t>1.10.7.2</t>
  </si>
  <si>
    <t>Окрашивание масляными составами деревянных поручней</t>
  </si>
  <si>
    <t>100  м поручня</t>
  </si>
  <si>
    <t>1.10.7.3</t>
  </si>
  <si>
    <t>Заделка выбоин в каменных ступенях</t>
  </si>
  <si>
    <t>100 м2 заделанной поверхности</t>
  </si>
  <si>
    <t>2.6</t>
  </si>
  <si>
    <t>Подготовка многоквартирного дома к сезонной эксплуатации, проведение технических осмотров</t>
  </si>
  <si>
    <t>2.6.3</t>
  </si>
  <si>
    <t>Замена разбитых стекол окон и дверей в помещениях общего пользования</t>
  </si>
  <si>
    <t>2.6.3.4</t>
  </si>
  <si>
    <t>Смена стекол на штапиках по замазке</t>
  </si>
  <si>
    <t>100 м фальца</t>
  </si>
  <si>
    <t>2.6.6</t>
  </si>
  <si>
    <t>Проверка состояния и ремонт продухов в цоколях зданий</t>
  </si>
  <si>
    <t>2.6.6.1</t>
  </si>
  <si>
    <t>Оштукатуривание продухов</t>
  </si>
  <si>
    <t xml:space="preserve">  1 м2 ремонтируемой поверхности</t>
  </si>
  <si>
    <t>2.6.6.2</t>
  </si>
  <si>
    <t>Перетирка штукатурки поверхностей</t>
  </si>
  <si>
    <t>2.6.6.3</t>
  </si>
  <si>
    <t>Окраска  продухов</t>
  </si>
  <si>
    <t>100 м2 ремонтируемой поверхности</t>
  </si>
  <si>
    <t>2.6.8</t>
  </si>
  <si>
    <t>Проведение технических осмотров и мелкий ремонт стен, полов, перекрытий</t>
  </si>
  <si>
    <t>2.6.8.1</t>
  </si>
  <si>
    <t>Осмотр территории вокруг здания и фундамента</t>
  </si>
  <si>
    <t>1000 кв.м. общей площади</t>
  </si>
  <si>
    <t>2.6.8.2</t>
  </si>
  <si>
    <t>Осмотр кирпичных и железобетонных стен, фасадов</t>
  </si>
  <si>
    <t>2.6.8.6</t>
  </si>
  <si>
    <t>Осмотр железобетонных перекрытий</t>
  </si>
  <si>
    <t>1000 кв.м. полов</t>
  </si>
  <si>
    <t>2.6.8.7</t>
  </si>
  <si>
    <t>Осмотр железобетонных покрытий</t>
  </si>
  <si>
    <t>2.6.8.8</t>
  </si>
  <si>
    <t>Осмотр внутренней отделки стен</t>
  </si>
  <si>
    <t>2.6.8.9</t>
  </si>
  <si>
    <t>Осмотр заполнения дверных и оконных проемов</t>
  </si>
  <si>
    <t>2.6.9</t>
  </si>
  <si>
    <t>Осмотр всех элементов кровли, водостоков</t>
  </si>
  <si>
    <t>2.6.9.2</t>
  </si>
  <si>
    <t>Осмотр всех элементов рулонных кровель, водостоков</t>
  </si>
  <si>
    <t>1000 кв.м. кровли</t>
  </si>
  <si>
    <t>3.2</t>
  </si>
  <si>
    <t>Обслуживание земельного участка, входящего в состав общего имущества многоквартирного дома</t>
  </si>
  <si>
    <t>3.2.4</t>
  </si>
  <si>
    <t>Подрезка деревьев и кустов</t>
  </si>
  <si>
    <t>3.2.4.1</t>
  </si>
  <si>
    <t>Формовочная обрезка деревьев высотой более 5 м</t>
  </si>
  <si>
    <t>100 деревьев</t>
  </si>
  <si>
    <t>3.2.4.2</t>
  </si>
  <si>
    <t>Вырезка сухих ветвей и поросли</t>
  </si>
  <si>
    <t>3.2.4.4</t>
  </si>
  <si>
    <t>Формирование кроны кустарников</t>
  </si>
  <si>
    <t>1000 кустов</t>
  </si>
  <si>
    <t>3.2.4.7</t>
  </si>
  <si>
    <t>Формовочная обрезка деревьев высотой до 5 м</t>
  </si>
  <si>
    <t>3.2.9</t>
  </si>
  <si>
    <t>Очистка кровли</t>
  </si>
  <si>
    <t>3.2.9.2</t>
  </si>
  <si>
    <t>Очистка кровли от снега, сбивание сосулек (при толщине слоя до 20 см) с парапетов</t>
  </si>
  <si>
    <t>100 кв.м. кровли</t>
  </si>
  <si>
    <t>Плановый ремонт подъездов</t>
  </si>
  <si>
    <t>Ремонт подъездов</t>
  </si>
  <si>
    <t>м2</t>
  </si>
  <si>
    <t>ИТОГО:</t>
  </si>
  <si>
    <t> Техническое обслуживание и ремонт внутридомовых систем электроснабжения и электрооборудования</t>
  </si>
  <si>
    <t>1.1.7</t>
  </si>
  <si>
    <t>Восстановление (ремонт)  освещения и  вентиляции  подвала</t>
  </si>
  <si>
    <t>1.1.7.2</t>
  </si>
  <si>
    <t>Замена неисправных участков сети электрической сети (открытая проводка) при числе и сечении жил в проводе 2х1,5 и 2х2,5 кв.м</t>
  </si>
  <si>
    <t>100 пог.м</t>
  </si>
  <si>
    <t>1.1.7.3</t>
  </si>
  <si>
    <t>Замена ламп накаливания</t>
  </si>
  <si>
    <t>1.1.7.4</t>
  </si>
  <si>
    <t>Замена выключателей</t>
  </si>
  <si>
    <t>1.1.7.5</t>
  </si>
  <si>
    <t>Замена патронов</t>
  </si>
  <si>
    <t>1.1.7.7</t>
  </si>
  <si>
    <t>Замена неисправных участков сети электрической сети (открытая проводка) при числе и сечении жил в проводе 3х2,5 кв.м</t>
  </si>
  <si>
    <t>100 пог. м</t>
  </si>
  <si>
    <t>2.5</t>
  </si>
  <si>
    <t>Внутридомовое электро-, радио- и телеоборудование</t>
  </si>
  <si>
    <t>2.5.1</t>
  </si>
  <si>
    <t>Ремонт,  замена  шкафов  вводных и  вводно-распределительных устройств</t>
  </si>
  <si>
    <t>2.5.1.2</t>
  </si>
  <si>
    <t>Замена автоматического выключателя</t>
  </si>
  <si>
    <t>1 автоматический выключатель</t>
  </si>
  <si>
    <t>2.5.1.4</t>
  </si>
  <si>
    <t>Замена предохранителя</t>
  </si>
  <si>
    <t>1 предохранитель</t>
  </si>
  <si>
    <t>2.5.1.5</t>
  </si>
  <si>
    <t>Замена рубильника</t>
  </si>
  <si>
    <t>1 рубильник</t>
  </si>
  <si>
    <t>2.5.1.8</t>
  </si>
  <si>
    <t>Замена магнитного пускателя</t>
  </si>
  <si>
    <t>1 пускатель</t>
  </si>
  <si>
    <t>2.5.1.10</t>
  </si>
  <si>
    <t>Ремонт устройства автоматического выключения резерва</t>
  </si>
  <si>
    <t>1 устройство АВР</t>
  </si>
  <si>
    <t>2.5.2</t>
  </si>
  <si>
    <t>Ремонт,  замена  аппаратуры  защиты,  контроля и   управления  общего  пользования</t>
  </si>
  <si>
    <t>2.5.2.1</t>
  </si>
  <si>
    <t>Ремонт грозозащитного устройства</t>
  </si>
  <si>
    <t>1 устройство</t>
  </si>
  <si>
    <t>2.5.2.5</t>
  </si>
  <si>
    <t>Замена автомата</t>
  </si>
  <si>
    <t>1 автомат</t>
  </si>
  <si>
    <t>2.5.3</t>
  </si>
  <si>
    <t>Ремонт  внутридомового электрооборудования  общего  пользования</t>
  </si>
  <si>
    <t>2.5.3.1</t>
  </si>
  <si>
    <t>Замена электромагнитного контактора</t>
  </si>
  <si>
    <t>1 контактор</t>
  </si>
  <si>
    <t>2.5.4</t>
  </si>
  <si>
    <t>Ремонт, замена  внутридомовых электрических сетей</t>
  </si>
  <si>
    <t>1000 пог.м.</t>
  </si>
  <si>
    <t>2.5.5</t>
  </si>
  <si>
    <t>Ремонт, замена этажных  щитков и  шкафов</t>
  </si>
  <si>
    <t>2.5.5.2</t>
  </si>
  <si>
    <t>Ремонт щитков</t>
  </si>
  <si>
    <t>1 щит</t>
  </si>
  <si>
    <t>2.5.6</t>
  </si>
  <si>
    <t>Ремонт,  замена  приборов  учета и регулирования общего   пользования</t>
  </si>
  <si>
    <t>2.5.6.8</t>
  </si>
  <si>
    <t>Обслуживание однофазных счетчиков электроэнергии</t>
  </si>
  <si>
    <t>100 счетчиков</t>
  </si>
  <si>
    <t>2.5.6.9</t>
  </si>
  <si>
    <t>Обслуживание трехфазных счетчиков электроэнергии</t>
  </si>
  <si>
    <t>2.5.7</t>
  </si>
  <si>
    <t>Ремонт,  замена  осветительных установок  помещений   общего  пользования</t>
  </si>
  <si>
    <t>2.5.7.1</t>
  </si>
  <si>
    <t>Замена выключателя</t>
  </si>
  <si>
    <t>1 выключатель</t>
  </si>
  <si>
    <t>2.5.7.2</t>
  </si>
  <si>
    <t>Замена светильника с лампами накаливания или энергосберегающими лампами</t>
  </si>
  <si>
    <t>1 светильник</t>
  </si>
  <si>
    <t>2.5.7.4</t>
  </si>
  <si>
    <t>Ремонт светильника с лампами накаливания или энергосберегающими лампами</t>
  </si>
  <si>
    <t>2.5.7.6</t>
  </si>
  <si>
    <t>Замена лампы накаливания на энергосберегательную</t>
  </si>
  <si>
    <t>1 лампа</t>
  </si>
  <si>
    <t>2.5.7.8</t>
  </si>
  <si>
    <t>Замена светильника на светильник светодиодный с датчиком движения</t>
  </si>
  <si>
    <t>2.5.7.9</t>
  </si>
  <si>
    <t>Замена светильника на светодиодный светильник</t>
  </si>
  <si>
    <t>2.5.9</t>
  </si>
  <si>
    <t>Ремонт штепсельных розеток и выключателей</t>
  </si>
  <si>
    <t>100 розеток (выключателей)</t>
  </si>
  <si>
    <t>2.6.13</t>
  </si>
  <si>
    <t>Проведение технических осмотров и устранение незначительных неисправностей в   электротехнических устройствах</t>
  </si>
  <si>
    <t>2.6.13.1</t>
  </si>
  <si>
    <t>Осмотр  электросети, арматуры, электрооборудования на лестничных клетках</t>
  </si>
  <si>
    <t>100 лестничных площадок</t>
  </si>
  <si>
    <t>2.6.13.3</t>
  </si>
  <si>
    <t>Проверка изоляции электропроводки и ее укрепление</t>
  </si>
  <si>
    <t>2.6.13.4</t>
  </si>
  <si>
    <t>Проверка заземления оболочки электрокабеля</t>
  </si>
  <si>
    <t>2.6.13.5</t>
  </si>
  <si>
    <t>Замеры сопротивления изоляции проводов</t>
  </si>
  <si>
    <t xml:space="preserve">измерение 1         </t>
  </si>
  <si>
    <t>Техническое обслуживание внутридомовых систем водоснабжения и канализации</t>
  </si>
  <si>
    <t>2.2</t>
  </si>
  <si>
    <t>Системы холодного и горячего водоснабжения</t>
  </si>
  <si>
    <t>2.2.1</t>
  </si>
  <si>
    <t>Ремонт,  замена  внутридомовых сетей водоснабжения</t>
  </si>
  <si>
    <t>2.2.1.2</t>
  </si>
  <si>
    <t>Смена отдельных участков трубопроводов  водоснабжения из стальных водогазопроводных оцинкованных труб при соединении труб  на сварке</t>
  </si>
  <si>
    <t>2.2.1.2.1</t>
  </si>
  <si>
    <t>Смена отдельных участков трубопроводов водоснабжения из стальных водогазопроводных оцинкованных труб диаметром 40 мм</t>
  </si>
  <si>
    <t>100 м трубопроводов</t>
  </si>
  <si>
    <t>2.2.1.2.2</t>
  </si>
  <si>
    <t>Смена отдельных участков трубопроводов  водоснабжения из стальных водогазопроводных оцинкованных труб диаметром 50 мм</t>
  </si>
  <si>
    <t>2.2.1.2.3</t>
  </si>
  <si>
    <t>Смена отдельных участков трубопроводов  водоснабжения из стальных водогазопроводных оцинкованных труб диаметром 65 мм</t>
  </si>
  <si>
    <t>2.2.1.2.4</t>
  </si>
  <si>
    <t>Смена отдельных участков трубопроводов  водоснабжения из стальных водогазопроводных оцинкованных труб диаметром 80 мм</t>
  </si>
  <si>
    <t>2.2.1.2.5</t>
  </si>
  <si>
    <t>Смена отдельных участков трубопроводов  водоснабжения из стальных водогазопроводных оцинкованных труб диаметром 100 мм</t>
  </si>
  <si>
    <t>2.2.1.6</t>
  </si>
  <si>
    <t>Временная заделка свищей и трещин на внутренних трубопроводах и стояках</t>
  </si>
  <si>
    <t>2.2.1.6.1</t>
  </si>
  <si>
    <t>Временная заделка свищей и трещин на внутренних трубопроводах и стояках при диаметре трубопровода до 50 мм</t>
  </si>
  <si>
    <t>2.2.1.6.2</t>
  </si>
  <si>
    <t>Временная заделка свищей и трещин на внутренних трубопроводах и стояках при диаметре трубопровода до 75 мм</t>
  </si>
  <si>
    <t>2.2.1.6.3</t>
  </si>
  <si>
    <t>Временная заделка свищей и трещин на внутренних трубопроводах и стояках при диаметре трубопровода до 100 мм</t>
  </si>
  <si>
    <t>2.2.1.7</t>
  </si>
  <si>
    <t>Смена сгонов у трубопроводов</t>
  </si>
  <si>
    <t>2.2.1.7.1</t>
  </si>
  <si>
    <t>Смена сгонов у трубопроводов диаметром до 20 мм</t>
  </si>
  <si>
    <t>100 сгонов</t>
  </si>
  <si>
    <t>2.2.1.7.2</t>
  </si>
  <si>
    <t>Смена сгонов у трубопроводов диаметром до 32 мм</t>
  </si>
  <si>
    <t>2.2.1.7.3</t>
  </si>
  <si>
    <t>Смена сгонов у трубопроводов диаметром до 50 мм</t>
  </si>
  <si>
    <t>2.2.1.8</t>
  </si>
  <si>
    <t>Уплотнение сгонов</t>
  </si>
  <si>
    <t>2.2.1.8.1</t>
  </si>
  <si>
    <t>Уплотнение сгонов с применением льняной пряди или асбестового шнура (без разборки сгонов) диаметром до 20 мм</t>
  </si>
  <si>
    <t>1 сгон</t>
  </si>
  <si>
    <t>2.2.1.8.2</t>
  </si>
  <si>
    <t>Уплотнение сгонов с применением льняной пряди или асбестового шнура (без разборки сгонов) диаметром до 32 мм</t>
  </si>
  <si>
    <t>2.2.1.8.4</t>
  </si>
  <si>
    <t>Уплотнение сгонов с применением ленты ФУМ (без разборки сгонов) диаметром до 50 мм</t>
  </si>
  <si>
    <t>2.2.1.9</t>
  </si>
  <si>
    <t>Прокладка трубопроводов водоснабжения из напорных полиэтиленовых труб низкого давления среднего типа</t>
  </si>
  <si>
    <t>2.2.1.9.4</t>
  </si>
  <si>
    <t>Прокладка трубопроводов водоснабжения из напорных полиэтиленовых труб низкого давления среднего типа наружным диаметром 40 мм</t>
  </si>
  <si>
    <t>100 м трубопровода</t>
  </si>
  <si>
    <t>2.2.1.9.5</t>
  </si>
  <si>
    <t>Прокладка трубопроводов водоснабжения из напорных полиэтиленовых труб низкого давления среднего типа наружным диаметром 50 мм</t>
  </si>
  <si>
    <t>2.2.1.9.6</t>
  </si>
  <si>
    <t>Прокладка трубопроводов водоснабжения из напорных полиэтиленовых труб низкого давления среднего типа наружным диаметром 63 мм</t>
  </si>
  <si>
    <t>2.2.1.9.7</t>
  </si>
  <si>
    <t>Прокладка трубопроводов водоснабжения из напорных полиэтиленовых труб низкого давления среднего типа наружным диаметром 75 мм</t>
  </si>
  <si>
    <t>2.2.1.9.8</t>
  </si>
  <si>
    <t>Прокладка трубопроводов водоснабжения из напорных полиэтиленовых труб низкого давления среднего типа наружным диаметром 90 мм</t>
  </si>
  <si>
    <t>2.2.1.9.9</t>
  </si>
  <si>
    <t>Прокладка трубопроводов водоснабжения из напорных полиэтиленовых труб низкого давления среднего типа наружным диаметром 110 мм</t>
  </si>
  <si>
    <t>2.2.2</t>
  </si>
  <si>
    <t>Ремонт, замена, проверка приборов учета воды</t>
  </si>
  <si>
    <t>2.2.2.1</t>
  </si>
  <si>
    <t>Ремонт приборов учета воды</t>
  </si>
  <si>
    <t>2.2.2.1.9</t>
  </si>
  <si>
    <t>Обслуживание преобразователя расхода от 50 до  100 мм</t>
  </si>
  <si>
    <t>1 преобразователь расхода</t>
  </si>
  <si>
    <t>2.2.2.2</t>
  </si>
  <si>
    <t>Замена прибора учета воды</t>
  </si>
  <si>
    <t>2.2.2.2.1</t>
  </si>
  <si>
    <t>Замена прибора учета воды с фильтром</t>
  </si>
  <si>
    <t>Счетчик воды</t>
  </si>
  <si>
    <t>2.2.2.2.2</t>
  </si>
  <si>
    <t>Замена прибора учета воды без фильтра</t>
  </si>
  <si>
    <t>2.2.3</t>
  </si>
  <si>
    <t>Ремонт  бойлеров,  котлов  подготовки  горячей воды</t>
  </si>
  <si>
    <t>2.2.3.1</t>
  </si>
  <si>
    <t>Проверка и ремонт  водяных теплообменников и водонагревателей</t>
  </si>
  <si>
    <t>2.2.3.1.3</t>
  </si>
  <si>
    <t>Теплообменник (водонагреватель)  поверхностью нагрева  до 25 кв.м</t>
  </si>
  <si>
    <t>1  теплообменник (бойлер)</t>
  </si>
  <si>
    <t>2.2.3.2</t>
  </si>
  <si>
    <t>Специальные работы и изготовление деталей</t>
  </si>
  <si>
    <t>2.2.3.2.2</t>
  </si>
  <si>
    <t>Очистка труб от накипи с двух сторон или райберовка отверстий трубной доски</t>
  </si>
  <si>
    <t>труба (отверстие)</t>
  </si>
  <si>
    <t>2.2.3.4</t>
  </si>
  <si>
    <t>Снятие и установка корпуса теплообменника</t>
  </si>
  <si>
    <t>корпус</t>
  </si>
  <si>
    <t>2.2.3.6</t>
  </si>
  <si>
    <t>Замена дефектных трубок пучка</t>
  </si>
  <si>
    <t>2.2.3.6.2</t>
  </si>
  <si>
    <t>Замена дефектных трубок пучка теплообменника с поверхностью нагрева до 75 кв.м</t>
  </si>
  <si>
    <t>1 трубка</t>
  </si>
  <si>
    <t>2.2.3.8</t>
  </si>
  <si>
    <t>Гидравлическое испытание теплообменника</t>
  </si>
  <si>
    <t>2.2.3.8.2</t>
  </si>
  <si>
    <t>Гидравлическое испытание теплообменника (водонагревателя)  поверхностью нагрева  до 75 кв.м</t>
  </si>
  <si>
    <t>1 теплообменник (бойлер)</t>
  </si>
  <si>
    <t>2.2.3.9</t>
  </si>
  <si>
    <t>Замена трубчатого или змеевикового  теплообменного аппарата</t>
  </si>
  <si>
    <t>2.2.3.9.1</t>
  </si>
  <si>
    <t>Замена трубчатого или змеевикового  теплообменного аппарата при весе пучка до 100 кг</t>
  </si>
  <si>
    <t>2.2.4</t>
  </si>
  <si>
    <t>Теплоизоляция сетей  горячего  водоснабжения</t>
  </si>
  <si>
    <t>100 м2 утепленного участка</t>
  </si>
  <si>
    <t>2.2.5</t>
  </si>
  <si>
    <t>Окраска  сетей и  устройств  горячего  водоснабжения</t>
  </si>
  <si>
    <t>2.2.5.1</t>
  </si>
  <si>
    <t>Окраска масляными составами ранее окрашенных поверхностей стальных труб</t>
  </si>
  <si>
    <t>2.2.5.1.2</t>
  </si>
  <si>
    <t>Окраска масляными составами ранее окрашенных поверхностей  стальных труб горячего водоснабжения за 2 раза</t>
  </si>
  <si>
    <t>2.2.6</t>
  </si>
  <si>
    <t>Ремонт оборудования, приборов и арматуры водопроводной сети общего пользования</t>
  </si>
  <si>
    <t>2.2.6.1</t>
  </si>
  <si>
    <t>Смена вентилей и клапанов обратных муфтовых диаметром до 20 мм</t>
  </si>
  <si>
    <t>2.2.6.2</t>
  </si>
  <si>
    <t>Смена вентилей и клапанов обратных муфтовых диаметром до 32  мм</t>
  </si>
  <si>
    <t>2.2.6.3</t>
  </si>
  <si>
    <t>Смена вентилей и клапанов обратных муфтовых диаметром до 50  мм</t>
  </si>
  <si>
    <t>2.2.6.4</t>
  </si>
  <si>
    <t>Смена задвижек диаметром до 50 мм</t>
  </si>
  <si>
    <t>2.2.6.5</t>
  </si>
  <si>
    <t>Смена задвижек диаметром до 100 мм</t>
  </si>
  <si>
    <t>2.3</t>
  </si>
  <si>
    <t>Система водоотведения</t>
  </si>
  <si>
    <t>2.3.1</t>
  </si>
  <si>
    <t>Смена отдельных участков трубопроводов канализации из полиэтиленовых труб высокой плотности</t>
  </si>
  <si>
    <t>2.3.1.1</t>
  </si>
  <si>
    <t>Смена горизонтальных участков трубопроводов канализации из полиэтиленовых труб высокой плотности диаметром 50 мм</t>
  </si>
  <si>
    <t>2.3.1.2</t>
  </si>
  <si>
    <t>Смена горизонтальных участков трубопроводов канализации из полиэтиленовых труб высокой плотности диаметром 100 мм</t>
  </si>
  <si>
    <t>2.3.1.3</t>
  </si>
  <si>
    <t>Смена вертикальных участков трубопроводов канализации из полиэтиленовых труб высокой плотности диаметром 50 мм</t>
  </si>
  <si>
    <t>2.3.1.4</t>
  </si>
  <si>
    <t>Смена вертикальных участков трубопроводов канализации из полиэтиленовых труб высокой плотности диаметром 100 мм</t>
  </si>
  <si>
    <t>2.3.2</t>
  </si>
  <si>
    <t>Смена отдельных участков внутренних чугунных канализационных труб и выпусков</t>
  </si>
  <si>
    <t>2.3.2.1</t>
  </si>
  <si>
    <t>Смена отдельных участков  чугунных труб и внутренних чугунных канализационных выпусков при диаметре канализационного выпуска 50 мм</t>
  </si>
  <si>
    <t>2.3.2.2</t>
  </si>
  <si>
    <t>Смена отдельных участков чугунных труб и  внутренних чугунных канализационных выпусков при диаметре канализационного выпуска 100 мм</t>
  </si>
  <si>
    <t>2.3.3</t>
  </si>
  <si>
    <t>Подчеканка раструбов канализационных труб</t>
  </si>
  <si>
    <t>2.3.3.3</t>
  </si>
  <si>
    <t>Подчеканка раструбов чугунных канализационных труб</t>
  </si>
  <si>
    <t>2.3.3.3.1</t>
  </si>
  <si>
    <t>Подчеканка раструбов чугунных  канализационных труб диаметром до 50 мм</t>
  </si>
  <si>
    <t>100  раструбов</t>
  </si>
  <si>
    <t>2.3.4</t>
  </si>
  <si>
    <t>Устранение засоров внутренних канализационных трубопроводов</t>
  </si>
  <si>
    <t>100 м трубы</t>
  </si>
  <si>
    <t>2.3.5</t>
  </si>
  <si>
    <t>Заделка стыков соединений стояков внутренних водостоков</t>
  </si>
  <si>
    <t>100 соединений</t>
  </si>
  <si>
    <t>2.3.7</t>
  </si>
  <si>
    <t>Набивка сальников компенсационных патрубков на стояках внутренних водостоков</t>
  </si>
  <si>
    <t>100 патрубков</t>
  </si>
  <si>
    <t>2.3.8</t>
  </si>
  <si>
    <t>Очистка стальной щеткой старых чугунных труб и фасонных частей от нароста и грязи</t>
  </si>
  <si>
    <t>2.3.8.1</t>
  </si>
  <si>
    <t>Очистка стальной щеткой старых чугунных труб и фасонных частей от нароста и грязи при диаметре трубопровода до 50 мм</t>
  </si>
  <si>
    <t>1 м трубопровода</t>
  </si>
  <si>
    <t>2.3.8.3</t>
  </si>
  <si>
    <t>Очистка стальной щеткой старых чугунных труб и фасонных частей от нароста и грязи при диаметре трубопровода до 100 мм</t>
  </si>
  <si>
    <t>2.3.9</t>
  </si>
  <si>
    <t>Окраска масляными составами ранее окрашенных поверхностей стальных и чугунных труб</t>
  </si>
  <si>
    <t>2.3.9.2</t>
  </si>
  <si>
    <t>Окраска масляными составами ранее окрашенных поверхностей  чугунных труб за 2 раза</t>
  </si>
  <si>
    <t>2.3.11</t>
  </si>
  <si>
    <t>Разборка трубопроводов из чугунных канализационных труб</t>
  </si>
  <si>
    <t>2.3.11.1</t>
  </si>
  <si>
    <t>Разборка трубопроводов из чугунных канализационных труб диаметром 50 мм</t>
  </si>
  <si>
    <t>100 м трубопровода с фасонными частями</t>
  </si>
  <si>
    <t>2.3.11.2</t>
  </si>
  <si>
    <t>Разборка трубопроводов из чугунных канализационных труб диаметром 100 мм</t>
  </si>
  <si>
    <t>2.6.11</t>
  </si>
  <si>
    <t>Проведение технических осмотров и устранение незначительных неисправностей в  системах водоснабжения и  водоотведения</t>
  </si>
  <si>
    <t>2.6.11.1</t>
  </si>
  <si>
    <t>Осмотр водопровода, канализации и горячего водоснабжения</t>
  </si>
  <si>
    <t>100 квартир</t>
  </si>
  <si>
    <t>2.6.11.2</t>
  </si>
  <si>
    <t>Промывка участка водопровода</t>
  </si>
  <si>
    <t>100 куб.м. здания</t>
  </si>
  <si>
    <t>2.6.11.3</t>
  </si>
  <si>
    <t>Прочистка канализационного лежака</t>
  </si>
  <si>
    <t>100 м канализационного лежака</t>
  </si>
  <si>
    <t>2.6.11.4</t>
  </si>
  <si>
    <t>Проверка исправности  канализационных  вытяжек</t>
  </si>
  <si>
    <t>2.6.15</t>
  </si>
  <si>
    <t>Проверка и ремонт коллективных приборов  учета</t>
  </si>
  <si>
    <t>2.6.15.1</t>
  </si>
  <si>
    <t>Проверка и обслуживание приборов учета воды диаметром 25-40 мм</t>
  </si>
  <si>
    <t>2.6.15.1.1</t>
  </si>
  <si>
    <t>Визуальный осмотр узла учета и проверка наличия и нарушения пломб (прибор учета воды диаметром 25-40 мм)</t>
  </si>
  <si>
    <t>1 прибор учета</t>
  </si>
  <si>
    <t>2.6.15.1.2</t>
  </si>
  <si>
    <t>Снятие и запись показаний с вычислителя в журнал (прибор учета воды диаметром 25-40 мм)</t>
  </si>
  <si>
    <t>2.6.15.1.3</t>
  </si>
  <si>
    <t>Составление акта (при нарушении правил эксплуатации прибора учета воды диаметром 25-40 мм) с представителями абонента и поставщиком</t>
  </si>
  <si>
    <t>2.6.15.1.4</t>
  </si>
  <si>
    <t>Проверка работоспособности запорной арматуры и очистка фильтров (приборов учета воды диаметром 25-40 мм)</t>
  </si>
  <si>
    <t>1 фильтр</t>
  </si>
  <si>
    <t>2.6.15.1.5</t>
  </si>
  <si>
    <t>Установка фильтра для очистки воды (приборов учета воды диаметром 25-40 мм)</t>
  </si>
  <si>
    <t>2.6.15.1.6</t>
  </si>
  <si>
    <t>Запуск воды с общего вентиля к счетчику (приборов учета воды диаметром 25-40 мм)</t>
  </si>
  <si>
    <t>2.6.15.1.7</t>
  </si>
  <si>
    <t>При отказе или неисправной работе прибора учета воды диаметром 25-40 мм - поиск неисправностей</t>
  </si>
  <si>
    <t>2.6.15.1.8</t>
  </si>
  <si>
    <t>Проверка работоспособности водозапорной арматуры приборов учета воды диаметром 25-40 мм</t>
  </si>
  <si>
    <t>2.6.15.2</t>
  </si>
  <si>
    <t>Проверка и обслуживание коллективных приборов учета воды диаметром 50-250 мм</t>
  </si>
  <si>
    <t>2.6.15.2.1</t>
  </si>
  <si>
    <t>Визуальный осмотр прибора учета воды диаметром 50-250 мм и проверка наличия и нарушения пломб</t>
  </si>
  <si>
    <t>2.6.15.2.2</t>
  </si>
  <si>
    <t>Снятие и запись показаний с вычислителя в журнал (приборов учета воды диаметром 50-250 мм)</t>
  </si>
  <si>
    <t>2.6.15.2.3</t>
  </si>
  <si>
    <t>Составление акта (при нарушении правил эксплуатации прибора учета воды диаметром 50-250 мм)</t>
  </si>
  <si>
    <t>2.6.15.2.4</t>
  </si>
  <si>
    <t>Проверка работоспособности запорной арматуры и очистка фильтров приборов учета воды диаметром 50-250 мм</t>
  </si>
  <si>
    <t>2.6.15.2.5</t>
  </si>
  <si>
    <t>Установка фильтра для очистки воды (приборов учета воды диаметром 50-250 мм)</t>
  </si>
  <si>
    <t>2.6.15.2.6</t>
  </si>
  <si>
    <t>Запуск воды с общего вентиля к счетчику (прибор учета воды диаметром 50-250 мм)</t>
  </si>
  <si>
    <t>2.6.15.2.7</t>
  </si>
  <si>
    <t>При отказе или неисправной работе прибора учета воды диаметром 50-250 мм - поиск неисправностей</t>
  </si>
  <si>
    <t>2.6.15.2.8</t>
  </si>
  <si>
    <t>Проверка работоспособности водозапорной арматуры приборов учета воды диаметром 50-250 мм</t>
  </si>
  <si>
    <t>2.7</t>
  </si>
  <si>
    <t>Устранение аварии и выполнение заявок населения</t>
  </si>
  <si>
    <t>2.7.2</t>
  </si>
  <si>
    <t>Устранение аварии на внутридомовых инженерных сетях и выполнение заявок населения (в домах, не оборудованных газовыми плитами)</t>
  </si>
  <si>
    <t>2.7.2.3</t>
  </si>
  <si>
    <t>Устранение аварии на внутридомовых инженерных сетях при сроке эксплуатации многоквартирного дома от 31 до 50 лет</t>
  </si>
  <si>
    <t>1000 м2  общей площади жилых помещений, не оборудованных газовыми плитами (в год для одной смены)</t>
  </si>
  <si>
    <t>Техническое обслуживание и ремонт внутридомовых систем центрального отопления</t>
  </si>
  <si>
    <t>2.1</t>
  </si>
  <si>
    <t>Система теплоснабжения</t>
  </si>
  <si>
    <t>2.1.2</t>
  </si>
  <si>
    <t>Ремонт,  модернизация внутридомовых отопительных сетей</t>
  </si>
  <si>
    <t>2.1.2.2</t>
  </si>
  <si>
    <t>Смена отдельных участков трубопроводов из стальных электросварных труб</t>
  </si>
  <si>
    <t>2.1.2.2.1</t>
  </si>
  <si>
    <t>Смена отдельных участков трубопроводов из стальных электросварных труб  диаметром 40 мм</t>
  </si>
  <si>
    <t>2.1.2.2.2</t>
  </si>
  <si>
    <t>Смена отдельных участков трубопроводов из стальных электросварных труб   диаметром 50 мм</t>
  </si>
  <si>
    <t>2.1.2.2.3</t>
  </si>
  <si>
    <t>Смена отдельных участков трубопроводов из стальных электросварных труб   диаметром 65 мм</t>
  </si>
  <si>
    <t>2.1.2.2.4</t>
  </si>
  <si>
    <t>Смена отдельных участков трубопроводов из стальных электросварных труб   диаметром  80 мм</t>
  </si>
  <si>
    <t>2.1.2.2.5</t>
  </si>
  <si>
    <t>Смена отдельных участков трубопроводов из стальных электросварных труб диаметром 100 мм</t>
  </si>
  <si>
    <t>2.1.2.3</t>
  </si>
  <si>
    <t xml:space="preserve">Модернизация внутридомовых тепловых сетей путем замены на трубопроводы из многослойных металл-полимерных труб при стояковой системе отопления </t>
  </si>
  <si>
    <t>2.1.2.3.1</t>
  </si>
  <si>
    <t>Модернизация внутридомовых тепловых сетей путем замены на трубопроводы из многослойных металл-полимерных труб при стояковой системе отопления диаметром до 20 мм</t>
  </si>
  <si>
    <t>пог.м.</t>
  </si>
  <si>
    <t>2.1.2.3.2</t>
  </si>
  <si>
    <t>Модернизация внутридомовых тепловых сетей путем замены на трубопроводы из многослойных металл-полимерных труб при стояковой системе отопления диаметром до 25 мм</t>
  </si>
  <si>
    <t>2.1.2.3.3</t>
  </si>
  <si>
    <t>Модернизация внутридомовых тепловых сетей путем замены на трубопроводы из многослойных металл-полимерных труб при стояковой системе отопления диаметром до 32 мм</t>
  </si>
  <si>
    <t>2.1.3</t>
  </si>
  <si>
    <t>Ремонт,  промывка  отопительных  элементов</t>
  </si>
  <si>
    <t>2.1.3.1</t>
  </si>
  <si>
    <t>Смена радиаторных блоков</t>
  </si>
  <si>
    <t>2.1.3.1.2</t>
  </si>
  <si>
    <t>Смена радиаторных блоков, вес радиаторного блока до 80 кг</t>
  </si>
  <si>
    <t>100 радиаторных блоков</t>
  </si>
  <si>
    <t>2.1.3.2</t>
  </si>
  <si>
    <t>Переборка секций радиаторного блока из чугуна</t>
  </si>
  <si>
    <t>100 секций</t>
  </si>
  <si>
    <t>2.1.3.3</t>
  </si>
  <si>
    <t>Переборка секций радиаторного блока из алюминия</t>
  </si>
  <si>
    <t>2.1.3.4</t>
  </si>
  <si>
    <t>Добавление секций к радиаторному блоку</t>
  </si>
  <si>
    <t>2.1.3.4.1</t>
  </si>
  <si>
    <t>Добавление секций к алюминиевому радиаторному блоку</t>
  </si>
  <si>
    <t>2.1.3.4.2</t>
  </si>
  <si>
    <t>Добавление секций к чугунному радиаторному блоку</t>
  </si>
  <si>
    <t>2.1.3.5</t>
  </si>
  <si>
    <t>Прочистка и промывка отопительных приборов</t>
  </si>
  <si>
    <t>2.1.3.5.1</t>
  </si>
  <si>
    <t>Прочистка и промывка отопительных приборов радиаторов весом до 80 кг внутри здания</t>
  </si>
  <si>
    <t>100 приборов</t>
  </si>
  <si>
    <t>2.1.3.5.2</t>
  </si>
  <si>
    <t>Прочистка и промывка отопительных приборов радиаторов весом до 160 кг внутри здания</t>
  </si>
  <si>
    <t>2.1.5</t>
  </si>
  <si>
    <t>Восстановление теплоизоляции  систем  теплоснабжения</t>
  </si>
  <si>
    <t>2.1.5.3</t>
  </si>
  <si>
    <t>Восстановление разрушенной тепловой изоляции</t>
  </si>
  <si>
    <t>2.1.5.3.3</t>
  </si>
  <si>
    <t>Восстановление разрушенной тепловой изоляции минераловатными матами</t>
  </si>
  <si>
    <t>100 м2 восстановленного участка</t>
  </si>
  <si>
    <t>2.1.6</t>
  </si>
  <si>
    <t>Ремонт или  замена  неисправных  приборов  учета и  регулирования</t>
  </si>
  <si>
    <t>2.1.6.2</t>
  </si>
  <si>
    <t>Замена прибора учета</t>
  </si>
  <si>
    <t>прибор</t>
  </si>
  <si>
    <t>2.1.7</t>
  </si>
  <si>
    <t>Ремонт  элеваторного  узла</t>
  </si>
  <si>
    <t>2.1.7.1</t>
  </si>
  <si>
    <t>Ремонт элеваторного узла с выходным проходом 50 мм</t>
  </si>
  <si>
    <t>1 узел</t>
  </si>
  <si>
    <t>2.1.7.2</t>
  </si>
  <si>
    <t>Ремонт элеваторного узла с выходным проходом 80 мм</t>
  </si>
  <si>
    <t>узел</t>
  </si>
  <si>
    <t>2.1.8</t>
  </si>
  <si>
    <t>Ремонт  насосов,  магистральной запорной арматуры,  автоматических устройств</t>
  </si>
  <si>
    <t>2.1.8.1</t>
  </si>
  <si>
    <t>Ремонт центробежных насосов</t>
  </si>
  <si>
    <t>насос</t>
  </si>
  <si>
    <t>2.1.8.4</t>
  </si>
  <si>
    <t>Смена параллельной задвижки</t>
  </si>
  <si>
    <t>2.1.8.4.1</t>
  </si>
  <si>
    <t>Смена параллельной задвижки,  диаметром до 100 мм</t>
  </si>
  <si>
    <t>2.1.8.4.2</t>
  </si>
  <si>
    <t>Смена параллельной задвижки,  диаметром до 150 мм</t>
  </si>
  <si>
    <t>2.1.8.4.3</t>
  </si>
  <si>
    <t>Смена параллельной задвижки,  диаметром до 200 мм</t>
  </si>
  <si>
    <t>2.1.8.5</t>
  </si>
  <si>
    <t>Снятие, прочистка и установка параллельной задвижки</t>
  </si>
  <si>
    <t>2.1.8.5.1</t>
  </si>
  <si>
    <t>Снятие, прочистка и установка параллельной задвижки диаметром  100 мм</t>
  </si>
  <si>
    <t>2.1.8.5.2</t>
  </si>
  <si>
    <t>Снятие, прочистка и установка параллельной задвижки диаметром  150 мм</t>
  </si>
  <si>
    <t>2.1.8.5.3</t>
  </si>
  <si>
    <t>Снятие, прочистка и установка параллельной задвижки диаметром  200 мм</t>
  </si>
  <si>
    <t>2.1.8.6</t>
  </si>
  <si>
    <t>Смена кранов двойной регулировки</t>
  </si>
  <si>
    <t>2.1.8.6.3</t>
  </si>
  <si>
    <t>Смена кранов двойной регулировки диаметром прохода 32 мм</t>
  </si>
  <si>
    <t>100 кранов</t>
  </si>
  <si>
    <t>2.1.8.7</t>
  </si>
  <si>
    <t>Смена пробковых кранов</t>
  </si>
  <si>
    <t>2.1.8.7.3</t>
  </si>
  <si>
    <t>Смена пробковых кранов диаметром свыше 26-50 мм</t>
  </si>
  <si>
    <t>2.1.8.8</t>
  </si>
  <si>
    <t>Смена вентиля</t>
  </si>
  <si>
    <t>2.1.8.8.3</t>
  </si>
  <si>
    <t>Смена вентиля диаметром свыше 26 до 50  мм</t>
  </si>
  <si>
    <t>100 вентилей</t>
  </si>
  <si>
    <t>2.1.9</t>
  </si>
  <si>
    <t>Модернизация системы отопления и горячего водоснабжения</t>
  </si>
  <si>
    <t>2.1.9.3</t>
  </si>
  <si>
    <t>Установка термостатических вентилей на радиаторах</t>
  </si>
  <si>
    <t>2.1.9.3.1</t>
  </si>
  <si>
    <t>Установка термостатических вентилей на радиаторах, диаметром 10-15 мм</t>
  </si>
  <si>
    <t>1 прибор</t>
  </si>
  <si>
    <t>2.1.9.3.2</t>
  </si>
  <si>
    <t>Установка термостатических вентилей на радиаторах, диаметром 20 мм</t>
  </si>
  <si>
    <t>2.1.9.4</t>
  </si>
  <si>
    <t>Установка запорных вентилей на радиаторах</t>
  </si>
  <si>
    <t>2.1.9.4.1</t>
  </si>
  <si>
    <t>Установка запорных вентилей на радиаторах, диаметром 10-15 мм</t>
  </si>
  <si>
    <t>2.1.9.4.2</t>
  </si>
  <si>
    <t>Установка запорных вентилей на радиаторах, диаметром 20 мм</t>
  </si>
  <si>
    <t>2.1.10</t>
  </si>
  <si>
    <t>Обслуживание систем диспетчеризации и автоматизированной системы коммерческого учета энергии (АСКУЭ) без учета обслуживания серверов</t>
  </si>
  <si>
    <t>1 АРМ</t>
  </si>
  <si>
    <t>2.6.14</t>
  </si>
  <si>
    <t>Проведение технических осмотров и устранение незначительных неисправностей в  системе   теплоснабжения</t>
  </si>
  <si>
    <t>2.6.14.1</t>
  </si>
  <si>
    <t>Осмотр системы центрального отопления</t>
  </si>
  <si>
    <t>2.6.14.1.2</t>
  </si>
  <si>
    <t>Осмотр устройства системы центрального отопления в чердачных и подвальных помещениях</t>
  </si>
  <si>
    <t>1000 м2 осматриваемых помещений</t>
  </si>
  <si>
    <t>2.6.14.3</t>
  </si>
  <si>
    <t>Гидравлическое испытание трубопроводов систем центрального отопления (расконсервация)</t>
  </si>
  <si>
    <t>2.6.14.3.1</t>
  </si>
  <si>
    <t>Первое рабочее испытание отдельных частей системы при диаметре трубопровода до 50 мм</t>
  </si>
  <si>
    <t>2.6.14.3.2</t>
  </si>
  <si>
    <t>Рабочая проверка системы в целом при диаметре трубопровода до 50 мм</t>
  </si>
  <si>
    <t>2.6.14.3.3</t>
  </si>
  <si>
    <t>Окончательная проверка при сдаче системы при диаметре трубопровода до 50 мм</t>
  </si>
  <si>
    <t>2.6.14.3.4</t>
  </si>
  <si>
    <t>Первое рабочее испытание отдельных частей системы при диаметре трубопровода до 100 мм</t>
  </si>
  <si>
    <t>2.6.14.3.5</t>
  </si>
  <si>
    <t>Рабочая проверка системы в целом при диаметре трубопровода до 100 мм</t>
  </si>
  <si>
    <t>2.6.14.3.6</t>
  </si>
  <si>
    <t>Окончательная проверка при сдаче системы при диаметре трубопровода до 100 мм</t>
  </si>
  <si>
    <t>2.6.14.3.10</t>
  </si>
  <si>
    <t>Проверка на прогрев отопительных приборов с регулировкой</t>
  </si>
  <si>
    <t>2.6.14.4</t>
  </si>
  <si>
    <t>Промывка трубопроводов системы центрального отопления</t>
  </si>
  <si>
    <t>2.6.14.4.1</t>
  </si>
  <si>
    <t>Промывка трубопроводов системы центрального отопления до 50 мм</t>
  </si>
  <si>
    <t>10 м трубопровода (100 м3 здания)</t>
  </si>
  <si>
    <t>2.6.14.4.2</t>
  </si>
  <si>
    <t>Промывка трубопроводов системы центрального отопления до 100 мм</t>
  </si>
  <si>
    <t>2.6.15.3</t>
  </si>
  <si>
    <t>Проверка и обслуживание коллективных узлов учета тепловой энергии диаметром 25-40 мм</t>
  </si>
  <si>
    <t>2.6.15.3.1</t>
  </si>
  <si>
    <t>Визуальный осмотр и проверка наличия и нарушения пломб (узел учета тепловой энергии диаметром 25-40 мм)</t>
  </si>
  <si>
    <t>1 узел учета</t>
  </si>
  <si>
    <t>2.6.15.3.2</t>
  </si>
  <si>
    <t>Снятие и запись показаний с вычислителя в журнал (узел учета тепловой энергии диаметром 25-40 мм)</t>
  </si>
  <si>
    <t>2.6.15.3.3</t>
  </si>
  <si>
    <t>Составление акта (при нарушении правил эксплуатации прибора) (узел учета тепловой энергии диаметром 25-40 мм)</t>
  </si>
  <si>
    <t>2.6.15.4</t>
  </si>
  <si>
    <t>Проверка и обслуживание коллективных узлов учета тепловой энергии диаметром 50-250 мм</t>
  </si>
  <si>
    <t>2.6.15.4.1</t>
  </si>
  <si>
    <t>Визуальный осмотр и проверка наличия и нарушения пломб (узел учета тепловой энергии диаметром 50-250 мм)</t>
  </si>
  <si>
    <t>2.6.15.4.2</t>
  </si>
  <si>
    <t>Снятие и запись показаний с вычислителя в журнал (узел учета тепловой энергии диаметром 50-250 мм)</t>
  </si>
  <si>
    <t>2.6.15.4.3</t>
  </si>
  <si>
    <t>Составление акта (при нарушении правил эксплуатации прибора) (узел учета тепловой энергии диаметром 50-250 мм)</t>
  </si>
  <si>
    <t>2.6.15.4.4</t>
  </si>
  <si>
    <t>Проверка работоспособности запорной арматуры и очистка фильтра (узел учета тепловой энергии диаметром 50-250 мм)</t>
  </si>
  <si>
    <t>Техническое обслуживание и ремонт внутридомовых систем газового оборудования</t>
  </si>
  <si>
    <t>2.4</t>
  </si>
  <si>
    <t>Система газоснабжения</t>
  </si>
  <si>
    <t>2.4.1</t>
  </si>
  <si>
    <t>Ремонт внутридомовых сетей  газоснабжения</t>
  </si>
  <si>
    <t>2.4.1.1</t>
  </si>
  <si>
    <t>Техническое обслуживание внутридомовых газопроводов</t>
  </si>
  <si>
    <t>2.4.1.1.2</t>
  </si>
  <si>
    <t>Техническое обслуживание внутридомовых газопроводов диаметром 25-50 мм</t>
  </si>
  <si>
    <t>100 пог. м.</t>
  </si>
  <si>
    <t>2.4.1.1.3</t>
  </si>
  <si>
    <t>Техническое обслуживание внутридомовых газопроводов диаметром 50-75 мм</t>
  </si>
  <si>
    <t>2.4.1.2</t>
  </si>
  <si>
    <t>Устранение неплотности соединений газопровода</t>
  </si>
  <si>
    <t>2.4.1.2.2</t>
  </si>
  <si>
    <t>Устранение неплотности соединений газопровода диаметром 25 мм</t>
  </si>
  <si>
    <t>1 соединение</t>
  </si>
  <si>
    <t>2.4.1.2.3</t>
  </si>
  <si>
    <t>Устранение неплотности соединений газопровода диаметром 32 мм</t>
  </si>
  <si>
    <t>2.4.1.2.4</t>
  </si>
  <si>
    <t>Устранение неплотности соединений газопровода диаметром 40 мм</t>
  </si>
  <si>
    <t>2.4.1.2.5</t>
  </si>
  <si>
    <t>Устранение неплотности соединений газопровода диаметром 50 мм</t>
  </si>
  <si>
    <t>2.4.1.3</t>
  </si>
  <si>
    <t>Замена газового крана</t>
  </si>
  <si>
    <t>2.4.1.3.2</t>
  </si>
  <si>
    <t>Замена газового крана диаметром 25 и 32 мм</t>
  </si>
  <si>
    <t>1 кран</t>
  </si>
  <si>
    <t>2.4.1.4</t>
  </si>
  <si>
    <t>Ремонт неисправного участка газопровода</t>
  </si>
  <si>
    <t>2.4.1.4.1</t>
  </si>
  <si>
    <t>Ремонт неисправного участка газопровода диаметром 15 мм</t>
  </si>
  <si>
    <t>1 участок</t>
  </si>
  <si>
    <t>2.4.1.4.2</t>
  </si>
  <si>
    <t>Ремонт неисправного участка газопровода диаметром 25 и 32 мм</t>
  </si>
  <si>
    <t>2.4.1.4.3</t>
  </si>
  <si>
    <t>Ремонт неисправного участка газопровода диаметром 40 мм</t>
  </si>
  <si>
    <t>2.4.1.4.4</t>
  </si>
  <si>
    <t>Ремонт неисправного участка газопровода диаметром 50 мм</t>
  </si>
  <si>
    <t>2.4.1.5</t>
  </si>
  <si>
    <t>Проверка работоспособности и смазка отключающих устройств</t>
  </si>
  <si>
    <t>2.4.2</t>
  </si>
  <si>
    <t>Внутридомовое и (или) внутриквартирное газовое оборудование</t>
  </si>
  <si>
    <t>2.4.2.1</t>
  </si>
  <si>
    <t>Ремонт,  замена  неисправных  приборов  учета и  регулирования</t>
  </si>
  <si>
    <t>2.4.2.1.2</t>
  </si>
  <si>
    <t>2.4.2.3</t>
  </si>
  <si>
    <t>Визуальная проверка (осмотр) газового оборудования</t>
  </si>
  <si>
    <t>1 оборудование</t>
  </si>
  <si>
    <t>2.4.2.4</t>
  </si>
  <si>
    <t>Проверка герметичности соединений и отключающих устройств</t>
  </si>
  <si>
    <t>2.4.2.5</t>
  </si>
  <si>
    <t>Разборка и смазка кранов</t>
  </si>
  <si>
    <t>2.4.2.8</t>
  </si>
  <si>
    <t>Инструктаж потребителей газа по безопасному использованию газа при удовлетворении коммунально-бытовых нужд</t>
  </si>
  <si>
    <t>1 квартира</t>
  </si>
  <si>
    <t>2.4.2.9</t>
  </si>
  <si>
    <t>Техническое обслуживание внутридомового газового оборудования домовладений и многоквартирных домов</t>
  </si>
  <si>
    <t>2.4.2.9.3</t>
  </si>
  <si>
    <t>Проверка герметичности внутридомового газопровода и технологических устройств на нем при количестве приборов на одном стояке 11-15 шт.</t>
  </si>
  <si>
    <t>стояк</t>
  </si>
  <si>
    <t>2.4.2.9.5</t>
  </si>
  <si>
    <t>Проверка на герметичность фланцевых, резьбовых соединений и сварных стыков на газопроводе в подъезде здания при диаметре до 32 мм</t>
  </si>
  <si>
    <t>10 шт.</t>
  </si>
  <si>
    <t>2.4.2.9.6</t>
  </si>
  <si>
    <t>Проверка на герметичность фланцевых, резьбовых соединений и сварных стыков на газопроводе в подъезде здания при диаметре 33 - 40 мм</t>
  </si>
  <si>
    <t>2.4.2.9.7</t>
  </si>
  <si>
    <t>Проверка на герметичность фланцевых, резьбовых соединений и сварных стыков на газопроводе в подъезде здания при диаметре 41 - 50 мм</t>
  </si>
  <si>
    <t>2.4.2.9.8</t>
  </si>
  <si>
    <t>Проверка герметичности фасадного газопровода</t>
  </si>
  <si>
    <t>м</t>
  </si>
  <si>
    <t>2.4.2.9.9</t>
  </si>
  <si>
    <t>Техническое обслуживание внутриквартирной газовой разводки</t>
  </si>
  <si>
    <t>шт.</t>
  </si>
  <si>
    <t>2.4.2.9.10</t>
  </si>
  <si>
    <t>Техническое обслуживание внутридомового газопровода в домовладении</t>
  </si>
  <si>
    <t>2.4.2.9.11</t>
  </si>
  <si>
    <t>Обход и осмотр трассы наружного (подземного, надземного) газопровода</t>
  </si>
  <si>
    <t>км</t>
  </si>
  <si>
    <t>2.4.2.9.15</t>
  </si>
  <si>
    <t>Техническое обслуживание внутридомового газопровода</t>
  </si>
  <si>
    <t>1 погонный метр</t>
  </si>
  <si>
    <t>2.4.2.10</t>
  </si>
  <si>
    <t>Проверка подвального помещения на загазованность</t>
  </si>
  <si>
    <t>1 помещение</t>
  </si>
  <si>
    <t>Техническое обслуживание и ремонт вентиляционных каналов</t>
  </si>
  <si>
    <t>2.6.5</t>
  </si>
  <si>
    <t>Утепление и прочистка дымовентиляционных каналов</t>
  </si>
  <si>
    <t>2.6.12</t>
  </si>
  <si>
    <t>Проведение технических осмотров и устранение незначительных неисправностей в  системах вентиляции</t>
  </si>
  <si>
    <t>2.6.12.1</t>
  </si>
  <si>
    <t>Проверка наличия тяги в  дымовентиляционных каналах</t>
  </si>
  <si>
    <t>2.6.12.2</t>
  </si>
  <si>
    <t>Проведение технических осмотров и устранение незначительных неисправностей в системе вентиляции</t>
  </si>
  <si>
    <t xml:space="preserve"> Техническое обслуживание и ремонт дымоходов</t>
  </si>
  <si>
    <t>1.11</t>
  </si>
  <si>
    <t>Печи</t>
  </si>
  <si>
    <t>1.11.1</t>
  </si>
  <si>
    <t>Ликвидация  неравномерного нагрева  поверхностей</t>
  </si>
  <si>
    <t>1.11.1.1</t>
  </si>
  <si>
    <t>Прочистка дымохода</t>
  </si>
  <si>
    <t>1.11.1.1.1</t>
  </si>
  <si>
    <t>Прочистка дымохода из кирпича горизонтального</t>
  </si>
  <si>
    <t>1.11.4</t>
  </si>
  <si>
    <t>Перекладка  печей</t>
  </si>
  <si>
    <t>1.11.4.1</t>
  </si>
  <si>
    <t>Перекладка дымовых труб</t>
  </si>
  <si>
    <t>1.11.4.1.3</t>
  </si>
  <si>
    <t>Перекладка дымовых труб под крышей с добавлением нового кирпича до 50 % в один канал</t>
  </si>
  <si>
    <t xml:space="preserve">100 м трубы </t>
  </si>
  <si>
    <t>Техническое обслуживание и ремонт систем коллективного приема телевидения</t>
  </si>
  <si>
    <t>2.8</t>
  </si>
  <si>
    <t>Антенное оборудование, сети радио-, телефонные, иные  коммуникационные сети</t>
  </si>
  <si>
    <t>2.8.1</t>
  </si>
  <si>
    <t>Ремонт, установка радио- и телевизионных антенн</t>
  </si>
  <si>
    <t>2.8.1.2</t>
  </si>
  <si>
    <t>Ремонт антенны</t>
  </si>
  <si>
    <t>2.8.1.2.3</t>
  </si>
  <si>
    <t>Ремонт приемной телевизионной антенны метрового диапазона волн, многоканальной, одно-двухэлементной</t>
  </si>
  <si>
    <t>1 антенна</t>
  </si>
  <si>
    <t>2.8.2</t>
  </si>
  <si>
    <t>Обслуживание  антенного  оборудования</t>
  </si>
  <si>
    <t>1000 кв.м.</t>
  </si>
  <si>
    <t>2.8.3</t>
  </si>
  <si>
    <t>Ремонт,  замена  антенного  оборудования</t>
  </si>
  <si>
    <t>2.8.3.1</t>
  </si>
  <si>
    <t>Ремонт (замена) кабеля снижения приемной антенны</t>
  </si>
  <si>
    <t>Уборка мест общего пользования</t>
  </si>
  <si>
    <t>3.1</t>
  </si>
  <si>
    <t>Работы по санитарному содержанию помещений общего пользования, системы мусороудаления и фасадов</t>
  </si>
  <si>
    <t>3.1.1</t>
  </si>
  <si>
    <t>Подметание и мытье полов во всех помещениях  общего пользования, кабинах лифта и их влажная уборка</t>
  </si>
  <si>
    <t>3.1.1.3</t>
  </si>
  <si>
    <t>Подметание и влажная уборка полов во всех помещениях  общего пользования в многоквартирном доме с лифтами без  мусоропроводов</t>
  </si>
  <si>
    <t>3.1.1.3.1</t>
  </si>
  <si>
    <t>Подметание лестничных площадок и маршей</t>
  </si>
  <si>
    <t>3.1.1.3.1.1</t>
  </si>
  <si>
    <t>Подметание лестничных площадок и маршей нижних трех этажей с предварительным их увлажнением (в доме с лифтами без мусоропроводов)</t>
  </si>
  <si>
    <t>100 м2  убираемой  площади</t>
  </si>
  <si>
    <t>3.1.1.3.1.2</t>
  </si>
  <si>
    <t>Подметание лестничных площадок и маршей выше третьего этажа с предварительным их увлажнением  (в доме с лифтами без мусоропроводов)</t>
  </si>
  <si>
    <t>100 м2 убираемой  площади</t>
  </si>
  <si>
    <t>3.1.1.3.2</t>
  </si>
  <si>
    <t>Мытье лестничных площадок и маршей</t>
  </si>
  <si>
    <t>3.1.1.3.2.1</t>
  </si>
  <si>
    <t>Мытье  лестничных площадок и маршей нижних трех этажей  (в доме с лифтами без мусоропроводов)</t>
  </si>
  <si>
    <t>3.1.1.3.2.2</t>
  </si>
  <si>
    <t>Мытье  лестничных площадок и маршей  выше третьего этажа  (в доме с лифтами без мусоропроводов)</t>
  </si>
  <si>
    <t>3.1.3</t>
  </si>
  <si>
    <t>Протирка пыли  с колпаков  светильников, подоконников в помещениях общего  пользования</t>
  </si>
  <si>
    <t>3.1.3.1</t>
  </si>
  <si>
    <t>Протирка пыли  с колпаков  светильников (в подвалах, на чердаках и лестничных клетках)</t>
  </si>
  <si>
    <t>3.1.3.2</t>
  </si>
  <si>
    <t>Протирка пыли  с подоконников в помещениях общего  пользования</t>
  </si>
  <si>
    <t xml:space="preserve">100 м2 подоконников </t>
  </si>
  <si>
    <t>3.1.4</t>
  </si>
  <si>
    <t>Мытье и протирка дверей и окон в помещениях общего пользования, включая двери  мусорных камер</t>
  </si>
  <si>
    <t>3.1.4.1</t>
  </si>
  <si>
    <t>Мытье и протирка дверей  в помещениях общего пользования</t>
  </si>
  <si>
    <t>100 м2 дверей</t>
  </si>
  <si>
    <t>3.1.4.3</t>
  </si>
  <si>
    <t>Мытье и протирка легкодоступных стекол в окнах  в помещениях общего пользования</t>
  </si>
  <si>
    <t>100 м2 окон</t>
  </si>
  <si>
    <t>3.1.9</t>
  </si>
  <si>
    <t>Влажная протирка элементов лестничных клеток</t>
  </si>
  <si>
    <t>3.1.9.1</t>
  </si>
  <si>
    <t>Влажная протирка почтовых ящиков (с моющим средством)</t>
  </si>
  <si>
    <t>100 кв.м почтовых ящиков</t>
  </si>
  <si>
    <t>3.1.11</t>
  </si>
  <si>
    <t>Обметание пыли с потолков</t>
  </si>
  <si>
    <t>100 кв. м. потолков</t>
  </si>
  <si>
    <t>Уборка мест придомовой территории</t>
  </si>
  <si>
    <t>Уборка земельного участка, входящего в состав общего имущества многоквартирного дома</t>
  </si>
  <si>
    <t>3.2.1</t>
  </si>
  <si>
    <t>Подметание  земельного  участка в летний период</t>
  </si>
  <si>
    <t>3.2.1.1</t>
  </si>
  <si>
    <t>Подметание в летний период  земельного участка с усовершенствованным покрытием 1 класса</t>
  </si>
  <si>
    <t>1 000 кв.м. территории</t>
  </si>
  <si>
    <t>3.2.3</t>
  </si>
  <si>
    <t>Уборка и уход за газонами, очистка  урн</t>
  </si>
  <si>
    <t>3.2.3.1</t>
  </si>
  <si>
    <t>Уборка и уход за газонами</t>
  </si>
  <si>
    <t>3.2.3.1.1</t>
  </si>
  <si>
    <t>Уборка газонов средней засоренности от листьев, сучьев, мусора</t>
  </si>
  <si>
    <t>100 000 кв.м. территории</t>
  </si>
  <si>
    <t>3.2.3.1.4</t>
  </si>
  <si>
    <t>Полив газонов</t>
  </si>
  <si>
    <t>на 100 000 кв.м.</t>
  </si>
  <si>
    <t>3.2.3.1.5</t>
  </si>
  <si>
    <t>Стрижка газонов</t>
  </si>
  <si>
    <t>на 100 кв.м.</t>
  </si>
  <si>
    <t>3.2.3.2</t>
  </si>
  <si>
    <t>Содержание урн</t>
  </si>
  <si>
    <t>3.2.3.2.10</t>
  </si>
  <si>
    <t>Очистка опрокидывающихся урн от мусора</t>
  </si>
  <si>
    <t>на 100 урн</t>
  </si>
  <si>
    <t>3.2.7</t>
  </si>
  <si>
    <t>Сдвижка и  подметание снега  при снегопаде</t>
  </si>
  <si>
    <t>3.2.7.1</t>
  </si>
  <si>
    <t>Сдвижка и подметание снега при снегопаде на придомовой территории с усовершенствованным покрытием 1 класса</t>
  </si>
  <si>
    <t>10 000 кв.м. территории</t>
  </si>
  <si>
    <t>3.2.8</t>
  </si>
  <si>
    <t>Ликвидация наледи</t>
  </si>
  <si>
    <t>3.2.8.8</t>
  </si>
  <si>
    <t>Посыпка территории I класса</t>
  </si>
  <si>
    <t>Погрузка снега и скола в автосамосвалы арендованными погрузчиками</t>
  </si>
  <si>
    <t>м3</t>
  </si>
  <si>
    <t>Вывоз снега с придомовой территории</t>
  </si>
  <si>
    <t>Утилизация вывезенного снега</t>
  </si>
  <si>
    <t>Содержание контейнерной площадки</t>
  </si>
  <si>
    <t>3.1.2</t>
  </si>
  <si>
    <t>Обслуживание мусоропроводов</t>
  </si>
  <si>
    <t>3.1.2.5</t>
  </si>
  <si>
    <t>Дезинфекция мусоросборников</t>
  </si>
  <si>
    <t>3.1.2.5.3</t>
  </si>
  <si>
    <t>Дезинфекция мусоросборников (контейнеров)</t>
  </si>
  <si>
    <t>10 контейнеров</t>
  </si>
  <si>
    <t>3.2.14</t>
  </si>
  <si>
    <t>Очистка контейнерной площадки в холодный период</t>
  </si>
  <si>
    <t>3.2.15</t>
  </si>
  <si>
    <t>Уборка мусора на  контейнерных  площадках</t>
  </si>
  <si>
    <t>Дератизация, дезинсекция</t>
  </si>
  <si>
    <t>3.4</t>
  </si>
  <si>
    <t>Прочие работы</t>
  </si>
  <si>
    <t>3.4.1</t>
  </si>
  <si>
    <t>Дератизация чердаков и подвалов</t>
  </si>
  <si>
    <t>3.4.1.4</t>
  </si>
  <si>
    <t>Дератизация чердаков и подвалов с применением крысида - антикоагулянта III поколения</t>
  </si>
  <si>
    <t>1000 м2  обрабатываемых  помещений</t>
  </si>
  <si>
    <t>3.4.2</t>
  </si>
  <si>
    <t>Дезинсекция  подвалов</t>
  </si>
  <si>
    <t>СОИ</t>
  </si>
  <si>
    <t>Холодная вода на СОИ</t>
  </si>
  <si>
    <t>Электрическая энергия на СОИ</t>
  </si>
  <si>
    <t>Горячая вода на СОИ</t>
  </si>
  <si>
    <t>Управление многоквартирным домом</t>
  </si>
  <si>
    <t>в т.ч. ком. услуги:</t>
  </si>
  <si>
    <t>холодная вода на СОИ</t>
  </si>
  <si>
    <t>электрическая энергия на СОИ</t>
  </si>
  <si>
    <t>горячая вода на СОИ</t>
  </si>
  <si>
    <t>ВСЕГО ПО СМЕТЕ:</t>
  </si>
  <si>
    <t>Проверил:</t>
  </si>
  <si>
    <t>Заместитель директора по ЖКХ</t>
  </si>
  <si>
    <t>(подпись)</t>
  </si>
  <si>
    <t>Заместитель директора по экономики</t>
  </si>
  <si>
    <t>С.И. Мухаметзянова</t>
  </si>
  <si>
    <t>Исп.: Н.В. Кириченкова</t>
  </si>
  <si>
    <t>А.В. Кутырев</t>
  </si>
  <si>
    <t>Ю.А. Кузнецов</t>
  </si>
  <si>
    <t>Д.А. Ковалев</t>
  </si>
  <si>
    <t>Стоимость с инфляцией 23,24,25г.г.</t>
  </si>
  <si>
    <t>Очистка кровли от снега, сбивание сосулек (при толщине слоя до 20 см)</t>
  </si>
  <si>
    <t>Погрузка снега и скола в автосамосвалы погрузчиками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</si>
</sst>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\ ###\ ##0.00"/>
    <numFmt numFmtId="165" formatCode="#,###,##0.00"/>
    <numFmt numFmtId="166" formatCode="#,##0.00_р_.;\-#,##0.00_р_."/>
  </numFmts>
  <fonts count="12" x14ac:knownFonts="1">
    <font>
      <sz val="11"/>
      <color rgb="FF000000"/>
      <name val="Calibri"/>
      <family val="2"/>
      <charset val="1"/>
    </font>
    <font>
      <b/>
      <sz val="11"/>
      <color rgb="FFFFFFFF"/>
      <name val="Times New Roman"/>
      <family val="1"/>
      <charset val="204"/>
    </font>
    <font>
      <b/>
      <sz val="10.5"/>
      <color rgb="FF000000"/>
      <name val="Times New Roman"/>
      <family val="1"/>
      <charset val="204"/>
    </font>
    <font>
      <sz val="10.5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rgb="FF000099"/>
      <name val="Times New Roman"/>
      <family val="1"/>
      <charset val="204"/>
    </font>
    <font>
      <i/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color rgb="FF707070"/>
      <name val="Times New Roman"/>
      <family val="1"/>
      <charset val="204"/>
    </font>
    <font>
      <b/>
      <sz val="10"/>
      <color rgb="FFFFFFFF"/>
      <name val="Times New Roman"/>
      <family val="1"/>
      <charset val="204"/>
    </font>
  </fonts>
  <fills count="10">
    <fill>
      <patternFill patternType="none"/>
    </fill>
    <fill>
      <patternFill patternType="gray125"/>
    </fill>
    <fill>
      <patternFill patternType="solid">
        <fgColor rgb="FF546E7A"/>
        <bgColor rgb="FF707070"/>
      </patternFill>
    </fill>
    <fill>
      <patternFill patternType="solid">
        <fgColor rgb="FFDCE6F1"/>
        <bgColor rgb="FFE0EFD4"/>
      </patternFill>
    </fill>
    <fill>
      <patternFill patternType="solid">
        <fgColor rgb="FFF9F7ED"/>
        <bgColor rgb="FFF2F2F2"/>
      </patternFill>
    </fill>
    <fill>
      <patternFill patternType="solid">
        <fgColor rgb="FFF5F2E0"/>
        <bgColor rgb="FFEBF1DE"/>
      </patternFill>
    </fill>
    <fill>
      <patternFill patternType="solid">
        <fgColor rgb="FFEBF1DE"/>
        <bgColor rgb="FFF5F2E0"/>
      </patternFill>
    </fill>
    <fill>
      <patternFill patternType="solid">
        <fgColor rgb="FFF2F2F2"/>
        <bgColor rgb="FFF9F7ED"/>
      </patternFill>
    </fill>
    <fill>
      <patternFill patternType="solid">
        <fgColor rgb="FFE0EFD4"/>
        <bgColor rgb="FFEBF1DE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ck">
        <color auto="1"/>
      </left>
      <right style="thin">
        <color rgb="FFFFFFFF"/>
      </right>
      <top style="thick">
        <color auto="1"/>
      </top>
      <bottom style="thick">
        <color auto="1"/>
      </bottom>
      <diagonal/>
    </border>
    <border>
      <left style="thin">
        <color rgb="FFFFFFFF"/>
      </left>
      <right style="thin">
        <color rgb="FFFFFFFF"/>
      </right>
      <top style="thick">
        <color auto="1"/>
      </top>
      <bottom style="thick">
        <color auto="1"/>
      </bottom>
      <diagonal/>
    </border>
    <border>
      <left style="thin">
        <color rgb="FFFFFFFF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rgb="FFFFFFFF"/>
      </left>
      <right/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1" fillId="0" borderId="0" xfId="0" applyFont="1" applyAlignment="1">
      <alignment horizontal="center" vertical="center" wrapText="1" indent="1"/>
    </xf>
    <xf numFmtId="0" fontId="1" fillId="0" borderId="0" xfId="0" applyFont="1" applyBorder="1" applyAlignment="1">
      <alignment horizontal="center" vertical="center" wrapText="1" indent="1"/>
    </xf>
    <xf numFmtId="49" fontId="1" fillId="0" borderId="0" xfId="0" applyNumberFormat="1" applyFont="1" applyBorder="1" applyAlignment="1">
      <alignment horizontal="center" vertical="center" wrapText="1" indent="1"/>
    </xf>
    <xf numFmtId="164" fontId="1" fillId="0" borderId="0" xfId="0" applyNumberFormat="1" applyFont="1" applyBorder="1" applyAlignment="1">
      <alignment horizontal="center" vertical="center" wrapText="1" inden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2" fontId="1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2" fontId="1" fillId="0" borderId="0" xfId="0" applyNumberFormat="1" applyFont="1" applyBorder="1" applyAlignment="1">
      <alignment horizontal="center" vertical="center" wrapText="1" indent="1"/>
    </xf>
    <xf numFmtId="49" fontId="1" fillId="0" borderId="0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1" fillId="2" borderId="2" xfId="0" applyFont="1" applyFill="1" applyBorder="1" applyAlignment="1">
      <alignment horizontal="center" vertical="center" wrapText="1" indent="1"/>
    </xf>
    <xf numFmtId="49" fontId="1" fillId="2" borderId="3" xfId="0" applyNumberFormat="1" applyFont="1" applyFill="1" applyBorder="1" applyAlignment="1">
      <alignment horizontal="center" vertical="center" wrapText="1" indent="1"/>
    </xf>
    <xf numFmtId="0" fontId="1" fillId="2" borderId="3" xfId="0" applyFont="1" applyFill="1" applyBorder="1" applyAlignment="1">
      <alignment horizontal="center" vertical="center" wrapText="1" indent="1"/>
    </xf>
    <xf numFmtId="164" fontId="1" fillId="2" borderId="3" xfId="0" applyNumberFormat="1" applyFont="1" applyFill="1" applyBorder="1" applyAlignment="1">
      <alignment horizontal="center" vertical="center" wrapText="1" indent="1"/>
    </xf>
    <xf numFmtId="2" fontId="1" fillId="2" borderId="4" xfId="0" applyNumberFormat="1" applyFont="1" applyFill="1" applyBorder="1" applyAlignment="1">
      <alignment horizontal="center" vertical="center" wrapText="1" indent="1"/>
    </xf>
    <xf numFmtId="0" fontId="5" fillId="0" borderId="0" xfId="0" applyFont="1"/>
    <xf numFmtId="2" fontId="7" fillId="0" borderId="9" xfId="0" applyNumberFormat="1" applyFont="1" applyBorder="1" applyAlignment="1">
      <alignment horizontal="left" indent="1"/>
    </xf>
    <xf numFmtId="0" fontId="8" fillId="0" borderId="0" xfId="0" applyFont="1"/>
    <xf numFmtId="0" fontId="8" fillId="3" borderId="10" xfId="0" applyFont="1" applyFill="1" applyBorder="1" applyAlignment="1">
      <alignment horizontal="center" vertical="top" wrapText="1" indent="1"/>
    </xf>
    <xf numFmtId="49" fontId="8" fillId="3" borderId="11" xfId="0" applyNumberFormat="1" applyFont="1" applyFill="1" applyBorder="1" applyAlignment="1">
      <alignment horizontal="left" vertical="top" wrapText="1" indent="1"/>
    </xf>
    <xf numFmtId="0" fontId="9" fillId="0" borderId="10" xfId="0" applyFont="1" applyBorder="1" applyAlignment="1">
      <alignment horizontal="center" vertical="top" wrapText="1" indent="1"/>
    </xf>
    <xf numFmtId="49" fontId="9" fillId="0" borderId="11" xfId="0" applyNumberFormat="1" applyFont="1" applyBorder="1" applyAlignment="1">
      <alignment horizontal="left" vertical="top" wrapText="1" indent="1"/>
    </xf>
    <xf numFmtId="0" fontId="9" fillId="0" borderId="11" xfId="0" applyFont="1" applyBorder="1" applyAlignment="1">
      <alignment horizontal="left" vertical="top" wrapText="1"/>
    </xf>
    <xf numFmtId="0" fontId="9" fillId="4" borderId="11" xfId="0" applyFont="1" applyFill="1" applyBorder="1" applyAlignment="1">
      <alignment horizontal="center" vertical="top"/>
    </xf>
    <xf numFmtId="0" fontId="9" fillId="5" borderId="11" xfId="0" applyFont="1" applyFill="1" applyBorder="1" applyAlignment="1">
      <alignment horizontal="center" vertical="top"/>
    </xf>
    <xf numFmtId="164" fontId="9" fillId="0" borderId="11" xfId="0" applyNumberFormat="1" applyFont="1" applyBorder="1" applyAlignment="1">
      <alignment horizontal="center" vertical="top"/>
    </xf>
    <xf numFmtId="164" fontId="9" fillId="6" borderId="11" xfId="0" applyNumberFormat="1" applyFont="1" applyFill="1" applyBorder="1" applyAlignment="1">
      <alignment horizontal="center" vertical="top"/>
    </xf>
    <xf numFmtId="2" fontId="9" fillId="0" borderId="12" xfId="0" applyNumberFormat="1" applyFont="1" applyBorder="1" applyAlignment="1">
      <alignment horizontal="center" vertical="top"/>
    </xf>
    <xf numFmtId="0" fontId="10" fillId="0" borderId="0" xfId="0" applyFont="1"/>
    <xf numFmtId="0" fontId="10" fillId="7" borderId="10" xfId="0" applyFont="1" applyFill="1" applyBorder="1" applyAlignment="1">
      <alignment horizontal="center" vertical="top" wrapText="1" indent="1"/>
    </xf>
    <xf numFmtId="49" fontId="10" fillId="7" borderId="11" xfId="0" applyNumberFormat="1" applyFont="1" applyFill="1" applyBorder="1" applyAlignment="1">
      <alignment horizontal="left" vertical="top" wrapText="1" indent="1"/>
    </xf>
    <xf numFmtId="0" fontId="9" fillId="0" borderId="11" xfId="0" applyFont="1" applyBorder="1" applyAlignment="1">
      <alignment horizontal="center" vertical="top"/>
    </xf>
    <xf numFmtId="0" fontId="1" fillId="0" borderId="0" xfId="0" applyFont="1" applyAlignment="1">
      <alignment horizontal="right" vertical="center" wrapText="1" indent="1"/>
    </xf>
    <xf numFmtId="164" fontId="1" fillId="2" borderId="3" xfId="0" applyNumberFormat="1" applyFont="1" applyFill="1" applyBorder="1" applyAlignment="1">
      <alignment horizontal="center" vertical="center" wrapText="1"/>
    </xf>
    <xf numFmtId="2" fontId="1" fillId="2" borderId="4" xfId="0" applyNumberFormat="1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center"/>
    </xf>
    <xf numFmtId="2" fontId="7" fillId="0" borderId="9" xfId="0" applyNumberFormat="1" applyFont="1" applyBorder="1" applyAlignment="1">
      <alignment horizontal="center"/>
    </xf>
    <xf numFmtId="165" fontId="9" fillId="0" borderId="11" xfId="0" applyNumberFormat="1" applyFont="1" applyBorder="1" applyAlignment="1">
      <alignment horizontal="center" vertical="top"/>
    </xf>
    <xf numFmtId="165" fontId="9" fillId="6" borderId="11" xfId="0" applyNumberFormat="1" applyFont="1" applyFill="1" applyBorder="1" applyAlignment="1">
      <alignment horizontal="center" vertical="top"/>
    </xf>
    <xf numFmtId="165" fontId="1" fillId="2" borderId="3" xfId="0" applyNumberFormat="1" applyFont="1" applyFill="1" applyBorder="1" applyAlignment="1">
      <alignment horizontal="center" vertical="center" wrapText="1"/>
    </xf>
    <xf numFmtId="0" fontId="9" fillId="0" borderId="13" xfId="0" applyFont="1" applyBorder="1" applyAlignment="1">
      <alignment horizontal="left" vertical="top" wrapText="1"/>
    </xf>
    <xf numFmtId="166" fontId="9" fillId="0" borderId="11" xfId="0" applyNumberFormat="1" applyFont="1" applyBorder="1" applyAlignment="1">
      <alignment horizontal="center" vertical="top"/>
    </xf>
    <xf numFmtId="164" fontId="9" fillId="0" borderId="13" xfId="0" applyNumberFormat="1" applyFont="1" applyBorder="1" applyAlignment="1">
      <alignment horizontal="center" vertical="top"/>
    </xf>
    <xf numFmtId="164" fontId="9" fillId="8" borderId="11" xfId="0" applyNumberFormat="1" applyFont="1" applyFill="1" applyBorder="1" applyAlignment="1">
      <alignment horizontal="center" vertical="top"/>
    </xf>
    <xf numFmtId="0" fontId="6" fillId="0" borderId="5" xfId="0" applyFont="1" applyBorder="1" applyAlignment="1">
      <alignment horizontal="left" vertical="center" indent="1"/>
    </xf>
    <xf numFmtId="0" fontId="6" fillId="0" borderId="5" xfId="0" applyFont="1" applyBorder="1" applyAlignment="1">
      <alignment horizontal="center" vertical="center"/>
    </xf>
    <xf numFmtId="164" fontId="7" fillId="0" borderId="6" xfId="0" applyNumberFormat="1" applyFont="1" applyBorder="1" applyAlignment="1">
      <alignment horizontal="center"/>
    </xf>
    <xf numFmtId="164" fontId="7" fillId="0" borderId="7" xfId="0" applyNumberFormat="1" applyFont="1" applyBorder="1" applyAlignment="1">
      <alignment horizontal="center"/>
    </xf>
    <xf numFmtId="0" fontId="8" fillId="3" borderId="12" xfId="0" applyFont="1" applyFill="1" applyBorder="1" applyAlignment="1">
      <alignment horizontal="left" vertical="top" wrapText="1"/>
    </xf>
    <xf numFmtId="0" fontId="8" fillId="3" borderId="12" xfId="0" applyFont="1" applyFill="1" applyBorder="1" applyAlignment="1">
      <alignment horizontal="center" vertical="top" wrapText="1"/>
    </xf>
    <xf numFmtId="166" fontId="9" fillId="5" borderId="11" xfId="0" applyNumberFormat="1" applyFont="1" applyFill="1" applyBorder="1" applyAlignment="1">
      <alignment horizontal="center" vertical="top"/>
    </xf>
    <xf numFmtId="164" fontId="9" fillId="0" borderId="12" xfId="0" applyNumberFormat="1" applyFont="1" applyBorder="1" applyAlignment="1">
      <alignment horizontal="center" vertical="top"/>
    </xf>
    <xf numFmtId="0" fontId="1" fillId="2" borderId="2" xfId="0" applyFont="1" applyFill="1" applyBorder="1" applyAlignment="1">
      <alignment horizontal="right" vertical="center" wrapText="1" indent="1"/>
    </xf>
    <xf numFmtId="164" fontId="1" fillId="2" borderId="4" xfId="0" applyNumberFormat="1" applyFont="1" applyFill="1" applyBorder="1" applyAlignment="1">
      <alignment horizontal="center" vertical="center" wrapText="1"/>
    </xf>
    <xf numFmtId="0" fontId="6" fillId="0" borderId="14" xfId="0" applyFont="1" applyBorder="1" applyAlignment="1">
      <alignment horizontal="left" vertical="center" indent="1"/>
    </xf>
    <xf numFmtId="0" fontId="6" fillId="0" borderId="14" xfId="0" applyFont="1" applyBorder="1" applyAlignment="1">
      <alignment horizontal="center" vertical="center"/>
    </xf>
    <xf numFmtId="0" fontId="5" fillId="0" borderId="15" xfId="0" applyFont="1" applyBorder="1"/>
    <xf numFmtId="0" fontId="5" fillId="0" borderId="16" xfId="0" applyFont="1" applyBorder="1"/>
    <xf numFmtId="0" fontId="5" fillId="0" borderId="11" xfId="0" applyFont="1" applyBorder="1"/>
    <xf numFmtId="0" fontId="5" fillId="0" borderId="11" xfId="0" applyFont="1" applyBorder="1" applyAlignment="1">
      <alignment horizontal="center"/>
    </xf>
    <xf numFmtId="166" fontId="5" fillId="0" borderId="11" xfId="0" applyNumberFormat="1" applyFont="1" applyBorder="1" applyAlignment="1">
      <alignment horizontal="center"/>
    </xf>
    <xf numFmtId="164" fontId="5" fillId="0" borderId="11" xfId="0" applyNumberFormat="1" applyFont="1" applyBorder="1" applyAlignment="1">
      <alignment horizontal="center"/>
    </xf>
    <xf numFmtId="0" fontId="5" fillId="0" borderId="13" xfId="0" applyFont="1" applyBorder="1"/>
    <xf numFmtId="0" fontId="5" fillId="0" borderId="17" xfId="0" applyFont="1" applyBorder="1"/>
    <xf numFmtId="0" fontId="5" fillId="0" borderId="18" xfId="0" applyFont="1" applyBorder="1"/>
    <xf numFmtId="0" fontId="5" fillId="0" borderId="19" xfId="0" applyFont="1" applyBorder="1"/>
    <xf numFmtId="0" fontId="5" fillId="0" borderId="20" xfId="0" applyFont="1" applyBorder="1"/>
    <xf numFmtId="0" fontId="5" fillId="0" borderId="21" xfId="0" applyFont="1" applyBorder="1"/>
    <xf numFmtId="0" fontId="5" fillId="0" borderId="21" xfId="0" applyFont="1" applyBorder="1" applyAlignment="1">
      <alignment horizontal="center"/>
    </xf>
    <xf numFmtId="166" fontId="5" fillId="0" borderId="21" xfId="0" applyNumberFormat="1" applyFont="1" applyBorder="1" applyAlignment="1">
      <alignment horizontal="center"/>
    </xf>
    <xf numFmtId="164" fontId="5" fillId="0" borderId="21" xfId="0" applyNumberFormat="1" applyFont="1" applyBorder="1" applyAlignment="1">
      <alignment horizontal="center"/>
    </xf>
    <xf numFmtId="0" fontId="4" fillId="0" borderId="5" xfId="0" applyFont="1" applyBorder="1"/>
    <xf numFmtId="0" fontId="4" fillId="0" borderId="22" xfId="0" applyFont="1" applyBorder="1"/>
    <xf numFmtId="0" fontId="4" fillId="0" borderId="23" xfId="0" applyFont="1" applyBorder="1"/>
    <xf numFmtId="0" fontId="4" fillId="0" borderId="23" xfId="0" applyFont="1" applyBorder="1" applyAlignment="1">
      <alignment horizontal="center"/>
    </xf>
    <xf numFmtId="166" fontId="4" fillId="0" borderId="23" xfId="0" applyNumberFormat="1" applyFont="1" applyBorder="1" applyAlignment="1">
      <alignment horizontal="center"/>
    </xf>
    <xf numFmtId="164" fontId="4" fillId="0" borderId="24" xfId="0" applyNumberFormat="1" applyFont="1" applyBorder="1" applyAlignment="1">
      <alignment horizontal="center"/>
    </xf>
    <xf numFmtId="0" fontId="9" fillId="0" borderId="0" xfId="0" applyFont="1" applyAlignment="1">
      <alignment horizontal="center" vertical="top" wrapText="1" indent="1"/>
    </xf>
    <xf numFmtId="49" fontId="9" fillId="0" borderId="0" xfId="0" applyNumberFormat="1" applyFont="1" applyAlignment="1">
      <alignment horizontal="left" vertical="top" wrapText="1" indent="1"/>
    </xf>
    <xf numFmtId="164" fontId="9" fillId="0" borderId="0" xfId="0" applyNumberFormat="1" applyFont="1" applyAlignment="1">
      <alignment horizontal="right" vertical="top" indent="1"/>
    </xf>
    <xf numFmtId="2" fontId="9" fillId="0" borderId="0" xfId="0" applyNumberFormat="1" applyFont="1" applyAlignment="1">
      <alignment horizontal="right" vertical="top" indent="1"/>
    </xf>
    <xf numFmtId="0" fontId="9" fillId="0" borderId="0" xfId="0" applyFont="1" applyAlignment="1">
      <alignment horizontal="left" vertical="top" wrapText="1"/>
    </xf>
    <xf numFmtId="0" fontId="9" fillId="0" borderId="0" xfId="0" applyFont="1" applyAlignment="1">
      <alignment horizontal="right" vertical="top" indent="1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9" borderId="0" xfId="0" applyFont="1" applyFill="1" applyAlignment="1">
      <alignment horizontal="left" vertical="center"/>
    </xf>
    <xf numFmtId="164" fontId="7" fillId="0" borderId="6" xfId="0" applyNumberFormat="1" applyFont="1" applyBorder="1" applyAlignment="1">
      <alignment horizontal="right" indent="1"/>
    </xf>
    <xf numFmtId="164" fontId="7" fillId="0" borderId="8" xfId="0" applyNumberFormat="1" applyFont="1" applyBorder="1" applyAlignment="1">
      <alignment horizontal="right" indent="1"/>
    </xf>
    <xf numFmtId="164" fontId="9" fillId="6" borderId="13" xfId="0" applyNumberFormat="1" applyFont="1" applyFill="1" applyBorder="1" applyAlignment="1">
      <alignment horizontal="center" vertical="top"/>
    </xf>
    <xf numFmtId="164" fontId="7" fillId="0" borderId="8" xfId="0" applyNumberFormat="1" applyFont="1" applyBorder="1" applyAlignment="1">
      <alignment horizontal="center"/>
    </xf>
    <xf numFmtId="165" fontId="7" fillId="0" borderId="6" xfId="0" applyNumberFormat="1" applyFont="1" applyBorder="1" applyAlignment="1">
      <alignment horizontal="center"/>
    </xf>
    <xf numFmtId="165" fontId="7" fillId="0" borderId="8" xfId="0" applyNumberFormat="1" applyFont="1" applyBorder="1" applyAlignment="1">
      <alignment horizontal="center"/>
    </xf>
    <xf numFmtId="165" fontId="9" fillId="6" borderId="13" xfId="0" applyNumberFormat="1" applyFont="1" applyFill="1" applyBorder="1" applyAlignment="1">
      <alignment horizontal="center" vertical="top"/>
    </xf>
    <xf numFmtId="164" fontId="9" fillId="8" borderId="13" xfId="0" applyNumberFormat="1" applyFont="1" applyFill="1" applyBorder="1" applyAlignment="1">
      <alignment horizontal="center" vertical="top"/>
    </xf>
    <xf numFmtId="0" fontId="9" fillId="4" borderId="13" xfId="0" applyFont="1" applyFill="1" applyBorder="1" applyAlignment="1">
      <alignment horizontal="center" vertical="top"/>
    </xf>
    <xf numFmtId="0" fontId="9" fillId="5" borderId="13" xfId="0" applyFont="1" applyFill="1" applyBorder="1" applyAlignment="1">
      <alignment horizontal="center" vertical="top"/>
    </xf>
    <xf numFmtId="165" fontId="9" fillId="0" borderId="13" xfId="0" applyNumberFormat="1" applyFont="1" applyBorder="1" applyAlignment="1">
      <alignment horizontal="center" vertical="top"/>
    </xf>
    <xf numFmtId="164" fontId="11" fillId="2" borderId="25" xfId="0" applyNumberFormat="1" applyFont="1" applyFill="1" applyBorder="1" applyAlignment="1">
      <alignment horizontal="center" vertical="center" wrapText="1" indent="1"/>
    </xf>
    <xf numFmtId="0" fontId="6" fillId="0" borderId="5" xfId="0" applyFont="1" applyBorder="1" applyAlignment="1">
      <alignment horizontal="left" vertical="center" indent="1"/>
    </xf>
    <xf numFmtId="164" fontId="7" fillId="0" borderId="6" xfId="0" applyNumberFormat="1" applyFont="1" applyBorder="1" applyAlignment="1">
      <alignment horizontal="right" indent="1"/>
    </xf>
    <xf numFmtId="164" fontId="7" fillId="0" borderId="8" xfId="0" applyNumberFormat="1" applyFont="1" applyBorder="1" applyAlignment="1">
      <alignment horizontal="right" indent="1"/>
    </xf>
    <xf numFmtId="0" fontId="8" fillId="3" borderId="12" xfId="0" applyFont="1" applyFill="1" applyBorder="1" applyAlignment="1">
      <alignment horizontal="left" vertical="top" wrapText="1"/>
    </xf>
    <xf numFmtId="0" fontId="10" fillId="7" borderId="12" xfId="0" applyFont="1" applyFill="1" applyBorder="1" applyAlignment="1">
      <alignment indent="1"/>
    </xf>
    <xf numFmtId="0" fontId="10" fillId="7" borderId="12" xfId="0" applyFont="1" applyFill="1" applyBorder="1" applyAlignment="1">
      <alignment indent="12"/>
    </xf>
    <xf numFmtId="0" fontId="10" fillId="7" borderId="12" xfId="0" applyFont="1" applyFill="1" applyBorder="1" applyAlignment="1">
      <alignment indent="15"/>
    </xf>
    <xf numFmtId="0" fontId="1" fillId="2" borderId="2" xfId="0" applyFont="1" applyFill="1" applyBorder="1" applyAlignment="1">
      <alignment horizontal="right" vertical="center" wrapText="1" indent="1"/>
    </xf>
    <xf numFmtId="164" fontId="7" fillId="0" borderId="6" xfId="0" applyNumberFormat="1" applyFont="1" applyBorder="1" applyAlignment="1">
      <alignment horizontal="center"/>
    </xf>
    <xf numFmtId="164" fontId="7" fillId="0" borderId="8" xfId="0" applyNumberFormat="1" applyFont="1" applyBorder="1" applyAlignment="1">
      <alignment horizontal="center"/>
    </xf>
    <xf numFmtId="165" fontId="7" fillId="0" borderId="6" xfId="0" applyNumberFormat="1" applyFont="1" applyBorder="1" applyAlignment="1">
      <alignment horizontal="center"/>
    </xf>
    <xf numFmtId="165" fontId="7" fillId="0" borderId="8" xfId="0" applyNumberFormat="1" applyFont="1" applyBorder="1" applyAlignment="1">
      <alignment horizontal="center"/>
    </xf>
    <xf numFmtId="0" fontId="3" fillId="0" borderId="0" xfId="0" applyFont="1" applyAlignment="1">
      <alignment horizontal="center" vertical="center"/>
    </xf>
    <xf numFmtId="14" fontId="7" fillId="0" borderId="7" xfId="0" applyNumberFormat="1" applyFont="1" applyBorder="1" applyAlignment="1">
      <alignment horizontal="left" indent="1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99"/>
      <rgbColor rgb="FF808000"/>
      <rgbColor rgb="FF800080"/>
      <rgbColor rgb="FF008080"/>
      <rgbColor rgb="FFC0C0C0"/>
      <rgbColor rgb="FF707070"/>
      <rgbColor rgb="FF9999FF"/>
      <rgbColor rgb="FF993366"/>
      <rgbColor rgb="FFF9F7ED"/>
      <rgbColor rgb="FFDCE6F1"/>
      <rgbColor rgb="FF660066"/>
      <rgbColor rgb="FFFF8080"/>
      <rgbColor rgb="FF0066CC"/>
      <rgbColor rgb="FFF2F2F2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EBF1DE"/>
      <rgbColor rgb="FFE0EFD4"/>
      <rgbColor rgb="FFF5F2E0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546E7A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R557"/>
  <sheetViews>
    <sheetView tabSelected="1" zoomScaleNormal="100" workbookViewId="0">
      <pane ySplit="1" topLeftCell="A510" activePane="bottomLeft" state="frozen"/>
      <selection pane="bottomLeft" activeCell="P546" sqref="P546"/>
    </sheetView>
  </sheetViews>
  <sheetFormatPr defaultRowHeight="15" x14ac:dyDescent="0.25"/>
  <cols>
    <col min="1" max="1" width="3" style="18" customWidth="1"/>
    <col min="2" max="2" width="7.85546875" style="80" customWidth="1"/>
    <col min="3" max="3" width="13" style="81" customWidth="1"/>
    <col min="4" max="4" width="50" style="84" customWidth="1"/>
    <col min="5" max="5" width="20" style="84" customWidth="1"/>
    <col min="6" max="7" width="12" style="85" customWidth="1"/>
    <col min="8" max="9" width="14" style="82" customWidth="1"/>
    <col min="10" max="10" width="13" style="82" customWidth="1"/>
    <col min="11" max="13" width="14" style="82" customWidth="1"/>
    <col min="14" max="15" width="16" style="82" customWidth="1"/>
    <col min="16" max="16" width="15.140625" style="83" customWidth="1"/>
    <col min="17" max="1026" width="8.7109375" style="18" customWidth="1"/>
    <col min="1027" max="16384" width="9.140625" style="18"/>
  </cols>
  <sheetData>
    <row r="1" spans="2:18" s="1" customFormat="1" ht="14.25" x14ac:dyDescent="0.25">
      <c r="B1" s="2"/>
      <c r="C1" s="3"/>
      <c r="D1" s="2"/>
      <c r="E1" s="2"/>
      <c r="F1" s="2"/>
      <c r="G1" s="2"/>
      <c r="H1" s="4"/>
      <c r="I1" s="4"/>
      <c r="J1" s="4"/>
      <c r="K1" s="4"/>
      <c r="L1" s="5" t="s">
        <v>0</v>
      </c>
      <c r="M1" s="6"/>
      <c r="N1" s="6"/>
      <c r="O1" s="6"/>
      <c r="P1" s="7"/>
    </row>
    <row r="2" spans="2:18" s="1" customFormat="1" ht="14.25" x14ac:dyDescent="0.25">
      <c r="B2" s="2"/>
      <c r="C2" s="3"/>
      <c r="D2" s="2"/>
      <c r="E2" s="2"/>
      <c r="F2" s="2"/>
      <c r="G2" s="2"/>
      <c r="H2" s="4"/>
      <c r="I2" s="4"/>
      <c r="J2" s="4"/>
      <c r="K2" s="4"/>
      <c r="L2" s="8" t="s">
        <v>1</v>
      </c>
      <c r="M2" s="6"/>
      <c r="N2" s="6"/>
      <c r="O2" s="6"/>
      <c r="P2" s="7"/>
    </row>
    <row r="3" spans="2:18" s="1" customFormat="1" ht="14.25" x14ac:dyDescent="0.25">
      <c r="B3" s="2"/>
      <c r="C3" s="3"/>
      <c r="D3" s="2"/>
      <c r="E3" s="2"/>
      <c r="F3" s="2"/>
      <c r="G3" s="2"/>
      <c r="H3" s="4"/>
      <c r="I3" s="4"/>
      <c r="J3" s="4"/>
      <c r="K3" s="4"/>
      <c r="L3" s="88"/>
      <c r="M3" s="6"/>
      <c r="N3" s="6"/>
      <c r="O3" s="6"/>
      <c r="P3" s="7"/>
    </row>
    <row r="4" spans="2:18" s="1" customFormat="1" ht="14.25" x14ac:dyDescent="0.25">
      <c r="B4" s="2"/>
      <c r="C4" s="3"/>
      <c r="D4" s="2"/>
      <c r="E4" s="2"/>
      <c r="F4" s="2"/>
      <c r="G4" s="2"/>
      <c r="H4" s="4"/>
      <c r="I4" s="4"/>
      <c r="J4" s="4"/>
      <c r="K4" s="4"/>
      <c r="L4" s="9"/>
      <c r="M4" s="9"/>
      <c r="N4" s="88" t="s">
        <v>1137</v>
      </c>
      <c r="O4" s="88"/>
      <c r="P4" s="10"/>
    </row>
    <row r="5" spans="2:18" s="1" customFormat="1" ht="14.25" x14ac:dyDescent="0.2">
      <c r="B5" s="2"/>
      <c r="C5" s="11"/>
      <c r="D5" s="12" t="s">
        <v>2</v>
      </c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</row>
    <row r="6" spans="2:18" s="1" customFormat="1" ht="14.25" x14ac:dyDescent="0.25">
      <c r="B6" s="2"/>
      <c r="C6" s="3"/>
      <c r="D6" s="2"/>
      <c r="E6" s="2"/>
      <c r="F6" s="2"/>
      <c r="G6" s="2"/>
      <c r="H6" s="4"/>
      <c r="I6" s="4"/>
      <c r="J6" s="4"/>
      <c r="K6" s="4"/>
      <c r="L6" s="4"/>
      <c r="M6" s="4"/>
      <c r="N6" s="4"/>
      <c r="O6" s="4"/>
      <c r="P6" s="10"/>
    </row>
    <row r="7" spans="2:18" s="1" customFormat="1" ht="14.25" x14ac:dyDescent="0.25"/>
    <row r="8" spans="2:18" s="1" customFormat="1" ht="57" x14ac:dyDescent="0.25">
      <c r="B8" s="13" t="s">
        <v>3</v>
      </c>
      <c r="C8" s="14" t="s">
        <v>4</v>
      </c>
      <c r="D8" s="15" t="s">
        <v>5</v>
      </c>
      <c r="E8" s="15" t="s">
        <v>6</v>
      </c>
      <c r="F8" s="15" t="s">
        <v>7</v>
      </c>
      <c r="G8" s="15" t="s">
        <v>8</v>
      </c>
      <c r="H8" s="16" t="s">
        <v>9</v>
      </c>
      <c r="I8" s="16" t="s">
        <v>10</v>
      </c>
      <c r="J8" s="16" t="s">
        <v>11</v>
      </c>
      <c r="K8" s="16" t="s">
        <v>12</v>
      </c>
      <c r="L8" s="16" t="s">
        <v>13</v>
      </c>
      <c r="M8" s="16" t="s">
        <v>14</v>
      </c>
      <c r="N8" s="16" t="s">
        <v>15</v>
      </c>
      <c r="O8" s="101" t="s">
        <v>1140</v>
      </c>
      <c r="P8" s="17" t="s">
        <v>16</v>
      </c>
    </row>
    <row r="9" spans="2:18" x14ac:dyDescent="0.25">
      <c r="B9" s="102" t="s">
        <v>17</v>
      </c>
      <c r="C9" s="102"/>
      <c r="D9" s="102"/>
      <c r="E9" s="102"/>
      <c r="F9" s="102"/>
      <c r="G9" s="102"/>
      <c r="H9" s="102"/>
      <c r="I9" s="102"/>
      <c r="J9" s="102"/>
      <c r="K9" s="102"/>
      <c r="L9" s="102"/>
      <c r="M9" s="103" t="s">
        <v>18</v>
      </c>
      <c r="N9" s="103"/>
      <c r="O9" s="90"/>
      <c r="P9" s="115">
        <v>46085</v>
      </c>
    </row>
    <row r="10" spans="2:18" x14ac:dyDescent="0.25">
      <c r="B10" s="102"/>
      <c r="C10" s="102"/>
      <c r="D10" s="102"/>
      <c r="E10" s="102"/>
      <c r="F10" s="102"/>
      <c r="G10" s="102"/>
      <c r="H10" s="102"/>
      <c r="I10" s="102"/>
      <c r="J10" s="102"/>
      <c r="K10" s="102"/>
      <c r="L10" s="102"/>
      <c r="M10" s="104" t="s">
        <v>19</v>
      </c>
      <c r="N10" s="104"/>
      <c r="O10" s="91"/>
      <c r="P10" s="19">
        <v>9311</v>
      </c>
    </row>
    <row r="11" spans="2:18" s="20" customFormat="1" ht="13.9" customHeight="1" x14ac:dyDescent="0.2">
      <c r="B11" s="21"/>
      <c r="C11" s="22" t="s">
        <v>20</v>
      </c>
      <c r="D11" s="105" t="s">
        <v>21</v>
      </c>
      <c r="E11" s="105"/>
      <c r="F11" s="105"/>
      <c r="G11" s="105"/>
      <c r="H11" s="105"/>
      <c r="I11" s="105"/>
      <c r="J11" s="105"/>
      <c r="K11" s="105"/>
      <c r="L11" s="105"/>
      <c r="M11" s="105"/>
      <c r="N11" s="105"/>
      <c r="O11" s="105"/>
      <c r="P11" s="105"/>
    </row>
    <row r="12" spans="2:18" x14ac:dyDescent="0.25">
      <c r="B12" s="23">
        <v>1</v>
      </c>
      <c r="C12" s="24" t="s">
        <v>22</v>
      </c>
      <c r="D12" s="25" t="s">
        <v>23</v>
      </c>
      <c r="E12" s="25" t="s">
        <v>24</v>
      </c>
      <c r="F12" s="26">
        <v>1</v>
      </c>
      <c r="G12" s="27">
        <v>1</v>
      </c>
      <c r="H12" s="28">
        <f>F12 * G12 * 499.04682</f>
        <v>499.04682000000003</v>
      </c>
      <c r="I12" s="28">
        <f>F12 * G12 * 0</f>
        <v>0</v>
      </c>
      <c r="J12" s="28">
        <f t="shared" ref="J12:J17" si="0">F12 * G12 * 0</f>
        <v>0</v>
      </c>
      <c r="K12" s="28">
        <f>F12 * G12 * 475.092573</f>
        <v>475.09257300000002</v>
      </c>
      <c r="L12" s="28">
        <f>F12 * G12 * 102.284636</f>
        <v>102.28463600000001</v>
      </c>
      <c r="M12" s="28">
        <f>F12 * G12 * 99.809364</f>
        <v>99.809364000000002</v>
      </c>
      <c r="N12" s="29">
        <f t="shared" ref="N12:N17" si="1">SUM(H12:M12)</f>
        <v>1176.233393</v>
      </c>
      <c r="O12" s="92">
        <f>N12*1.07*1.09*1.05</f>
        <v>1440.4330565686951</v>
      </c>
      <c r="P12" s="30">
        <f>IF($P$10&gt;0,O12/$P$10/12,0)</f>
        <v>1.2891857807688889E-2</v>
      </c>
    </row>
    <row r="13" spans="2:18" ht="30" x14ac:dyDescent="0.25">
      <c r="B13" s="23">
        <v>2</v>
      </c>
      <c r="C13" s="24" t="s">
        <v>25</v>
      </c>
      <c r="D13" s="25" t="s">
        <v>26</v>
      </c>
      <c r="E13" s="25" t="s">
        <v>27</v>
      </c>
      <c r="F13" s="26">
        <v>0.04</v>
      </c>
      <c r="G13" s="27">
        <v>2</v>
      </c>
      <c r="H13" s="28">
        <f>F13 * G13 * 9350.726695</f>
        <v>748.05813560000001</v>
      </c>
      <c r="I13" s="28">
        <f>F13 * G13 * 23734.870938</f>
        <v>1898.78967504</v>
      </c>
      <c r="J13" s="28">
        <f t="shared" si="0"/>
        <v>0</v>
      </c>
      <c r="K13" s="28">
        <f>F13 * G13 * 8901.89181399999</f>
        <v>712.15134511999918</v>
      </c>
      <c r="L13" s="28">
        <f>F13 * G13 * 4408.686392</f>
        <v>352.69491135999999</v>
      </c>
      <c r="M13" s="28">
        <f>F13 * G13 * 1870.145339</f>
        <v>149.61162712000001</v>
      </c>
      <c r="N13" s="29">
        <f t="shared" si="1"/>
        <v>3861.3056942399985</v>
      </c>
      <c r="O13" s="92">
        <f t="shared" ref="O13:O17" si="2">N13*1.07*1.09*1.05</f>
        <v>4728.6128727517162</v>
      </c>
      <c r="P13" s="30">
        <f t="shared" ref="P13:P17" si="3">IF($P$10&gt;0,O13/$P$10/12,0)</f>
        <v>4.2321025961691516E-2</v>
      </c>
    </row>
    <row r="14" spans="2:18" x14ac:dyDescent="0.25">
      <c r="B14" s="23">
        <v>3</v>
      </c>
      <c r="C14" s="24" t="s">
        <v>28</v>
      </c>
      <c r="D14" s="25" t="s">
        <v>29</v>
      </c>
      <c r="E14" s="25" t="s">
        <v>30</v>
      </c>
      <c r="F14" s="26">
        <v>2.6227999999999998</v>
      </c>
      <c r="G14" s="27">
        <v>2</v>
      </c>
      <c r="H14" s="28">
        <f>F14 * G14 * 678.213195</f>
        <v>3557.6351356919999</v>
      </c>
      <c r="I14" s="28">
        <f>F14 * G14 * 1094.030647</f>
        <v>5738.8471619031998</v>
      </c>
      <c r="J14" s="28">
        <f t="shared" si="0"/>
        <v>0</v>
      </c>
      <c r="K14" s="28">
        <f>F14 * G14 * 645.658962</f>
        <v>3386.8686510671996</v>
      </c>
      <c r="L14" s="28">
        <f>F14 * G14 * 253.879794</f>
        <v>1331.7518474064</v>
      </c>
      <c r="M14" s="28">
        <f>F14 * G14 * 135.642639</f>
        <v>711.52702713839994</v>
      </c>
      <c r="N14" s="29">
        <f t="shared" si="1"/>
        <v>14726.629823207199</v>
      </c>
      <c r="O14" s="92">
        <f t="shared" si="2"/>
        <v>18034.451780946889</v>
      </c>
      <c r="P14" s="30">
        <f t="shared" si="3"/>
        <v>0.16140811746811021</v>
      </c>
    </row>
    <row r="15" spans="2:18" x14ac:dyDescent="0.25">
      <c r="B15" s="23">
        <v>4</v>
      </c>
      <c r="C15" s="24" t="s">
        <v>31</v>
      </c>
      <c r="D15" s="25" t="s">
        <v>32</v>
      </c>
      <c r="E15" s="25" t="s">
        <v>33</v>
      </c>
      <c r="F15" s="26">
        <v>0.1923</v>
      </c>
      <c r="G15" s="27">
        <v>1</v>
      </c>
      <c r="H15" s="28">
        <f>F15 * G15 * 7479.796585</f>
        <v>1438.3648832955</v>
      </c>
      <c r="I15" s="28">
        <f>F15 * G15 * 49695.914682</f>
        <v>9556.5243933485999</v>
      </c>
      <c r="J15" s="28">
        <f t="shared" si="0"/>
        <v>0</v>
      </c>
      <c r="K15" s="28">
        <f>F15 * G15 * 7120.76634899999</f>
        <v>1369.3233689126982</v>
      </c>
      <c r="L15" s="28">
        <f>F15 * G15 * 6751.13015</f>
        <v>1298.2423278450001</v>
      </c>
      <c r="M15" s="28">
        <f>F15 * G15 * 1495.959317</f>
        <v>287.67297665910002</v>
      </c>
      <c r="N15" s="29">
        <f t="shared" si="1"/>
        <v>13950.1279500609</v>
      </c>
      <c r="O15" s="92">
        <f t="shared" si="2"/>
        <v>17083.535939563833</v>
      </c>
      <c r="P15" s="30">
        <f t="shared" si="3"/>
        <v>0.15289743260269065</v>
      </c>
    </row>
    <row r="16" spans="2:18" ht="45" x14ac:dyDescent="0.25">
      <c r="B16" s="23">
        <v>5</v>
      </c>
      <c r="C16" s="24" t="s">
        <v>34</v>
      </c>
      <c r="D16" s="25" t="s">
        <v>35</v>
      </c>
      <c r="E16" s="25" t="s">
        <v>36</v>
      </c>
      <c r="F16" s="26">
        <v>7.0000000000000007E-2</v>
      </c>
      <c r="G16" s="27">
        <v>1</v>
      </c>
      <c r="H16" s="28">
        <f>F16 * G16 * 13047.290225</f>
        <v>913.31031575000009</v>
      </c>
      <c r="I16" s="28">
        <f>F16 * G16 * 11889.934531</f>
        <v>832.29541717000018</v>
      </c>
      <c r="J16" s="28">
        <f t="shared" si="0"/>
        <v>0</v>
      </c>
      <c r="K16" s="28">
        <f>F16 * G16 * 12421.020294</f>
        <v>869.47142058000009</v>
      </c>
      <c r="L16" s="28">
        <f>F16 * G16 * 3922.61573</f>
        <v>274.58310110000002</v>
      </c>
      <c r="M16" s="28">
        <f>F16 * G16 * 2609.458045</f>
        <v>182.66206314999999</v>
      </c>
      <c r="N16" s="29">
        <f t="shared" si="1"/>
        <v>3072.3223177500004</v>
      </c>
      <c r="O16" s="92">
        <f t="shared" si="2"/>
        <v>3762.4119951514172</v>
      </c>
      <c r="P16" s="30">
        <f t="shared" si="3"/>
        <v>3.3673540213648885E-2</v>
      </c>
    </row>
    <row r="17" spans="2:16" x14ac:dyDescent="0.25">
      <c r="B17" s="23">
        <v>6</v>
      </c>
      <c r="C17" s="24" t="s">
        <v>37</v>
      </c>
      <c r="D17" s="25" t="s">
        <v>38</v>
      </c>
      <c r="E17" s="25" t="s">
        <v>39</v>
      </c>
      <c r="F17" s="26">
        <v>12</v>
      </c>
      <c r="G17" s="27">
        <v>1</v>
      </c>
      <c r="H17" s="28">
        <f>F17 * G17 * 89.07382</f>
        <v>1068.8858399999999</v>
      </c>
      <c r="I17" s="28">
        <f>F17 * G17 * 107.100656</f>
        <v>1285.207872</v>
      </c>
      <c r="J17" s="28">
        <f t="shared" si="0"/>
        <v>0</v>
      </c>
      <c r="K17" s="28">
        <f>F17 * G17 * 84.798277</f>
        <v>1017.579324</v>
      </c>
      <c r="L17" s="28">
        <f>F17 * G17 * 29.502139</f>
        <v>354.025668</v>
      </c>
      <c r="M17" s="28">
        <f>F17 * G17 * 17.814764</f>
        <v>213.77716800000002</v>
      </c>
      <c r="N17" s="29">
        <f t="shared" si="1"/>
        <v>3939.4758720000004</v>
      </c>
      <c r="O17" s="92">
        <f t="shared" si="2"/>
        <v>4824.3412449892812</v>
      </c>
      <c r="P17" s="30">
        <f t="shared" si="3"/>
        <v>4.3177793693742895E-2</v>
      </c>
    </row>
    <row r="18" spans="2:16" s="20" customFormat="1" ht="13.9" customHeight="1" x14ac:dyDescent="0.2">
      <c r="B18" s="21"/>
      <c r="C18" s="22" t="s">
        <v>40</v>
      </c>
      <c r="D18" s="105" t="s">
        <v>41</v>
      </c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5"/>
    </row>
    <row r="19" spans="2:16" s="31" customFormat="1" ht="14.25" x14ac:dyDescent="0.2">
      <c r="B19" s="32"/>
      <c r="C19" s="33" t="s">
        <v>42</v>
      </c>
      <c r="D19" s="106" t="s">
        <v>43</v>
      </c>
      <c r="E19" s="106"/>
      <c r="F19" s="106"/>
      <c r="G19" s="106"/>
      <c r="H19" s="106"/>
      <c r="I19" s="106"/>
      <c r="J19" s="106"/>
      <c r="K19" s="106"/>
      <c r="L19" s="106"/>
      <c r="M19" s="106"/>
      <c r="N19" s="106"/>
      <c r="O19" s="106"/>
      <c r="P19" s="106"/>
    </row>
    <row r="20" spans="2:16" s="31" customFormat="1" ht="14.25" x14ac:dyDescent="0.2">
      <c r="B20" s="32"/>
      <c r="C20" s="33" t="s">
        <v>44</v>
      </c>
      <c r="D20" s="107" t="s">
        <v>45</v>
      </c>
      <c r="E20" s="107"/>
      <c r="F20" s="107"/>
      <c r="G20" s="107"/>
      <c r="H20" s="107"/>
      <c r="I20" s="107"/>
      <c r="J20" s="107"/>
      <c r="K20" s="107"/>
      <c r="L20" s="107"/>
      <c r="M20" s="107"/>
      <c r="N20" s="107"/>
      <c r="O20" s="107"/>
      <c r="P20" s="107"/>
    </row>
    <row r="21" spans="2:16" s="31" customFormat="1" ht="14.25" x14ac:dyDescent="0.2">
      <c r="B21" s="32"/>
      <c r="C21" s="33" t="s">
        <v>46</v>
      </c>
      <c r="D21" s="108" t="s">
        <v>47</v>
      </c>
      <c r="E21" s="108"/>
      <c r="F21" s="108"/>
      <c r="G21" s="108"/>
      <c r="H21" s="108"/>
      <c r="I21" s="108"/>
      <c r="J21" s="108"/>
      <c r="K21" s="108"/>
      <c r="L21" s="108"/>
      <c r="M21" s="108"/>
      <c r="N21" s="108"/>
      <c r="O21" s="108"/>
      <c r="P21" s="108"/>
    </row>
    <row r="22" spans="2:16" ht="45" x14ac:dyDescent="0.25">
      <c r="B22" s="23">
        <v>7</v>
      </c>
      <c r="C22" s="24" t="s">
        <v>48</v>
      </c>
      <c r="D22" s="25" t="s">
        <v>49</v>
      </c>
      <c r="E22" s="25" t="s">
        <v>50</v>
      </c>
      <c r="F22" s="26">
        <v>0.03</v>
      </c>
      <c r="G22" s="27">
        <v>1</v>
      </c>
      <c r="H22" s="28">
        <f>F22 * G22 * 13297.5972</f>
        <v>398.92791599999998</v>
      </c>
      <c r="I22" s="28">
        <f>F22 * G22 * 18642.156727</f>
        <v>559.26470181000002</v>
      </c>
      <c r="J22" s="28">
        <f>F22 * G22 * 0</f>
        <v>0</v>
      </c>
      <c r="K22" s="28">
        <f>F22 * G22 * 12659.3125339999</f>
        <v>379.77937601999702</v>
      </c>
      <c r="L22" s="28">
        <f>F22 * G22 * 4682.901978</f>
        <v>140.48705934</v>
      </c>
      <c r="M22" s="28">
        <f>F22 * G22 * 2659.51944</f>
        <v>79.785583200000005</v>
      </c>
      <c r="N22" s="29">
        <f>SUM(H22:M22)</f>
        <v>1558.2446363699971</v>
      </c>
      <c r="O22" s="92">
        <f>N22*1.07*1.09*1.05</f>
        <v>1908.2497553682445</v>
      </c>
      <c r="P22" s="30">
        <f>IF($P$10&gt;0,O22/$P$10/12,0)</f>
        <v>1.7078811400209826E-2</v>
      </c>
    </row>
    <row r="23" spans="2:16" s="31" customFormat="1" ht="14.25" x14ac:dyDescent="0.2">
      <c r="B23" s="32"/>
      <c r="C23" s="33" t="s">
        <v>51</v>
      </c>
      <c r="D23" s="106" t="s">
        <v>52</v>
      </c>
      <c r="E23" s="106"/>
      <c r="F23" s="106"/>
      <c r="G23" s="106"/>
      <c r="H23" s="106"/>
      <c r="I23" s="106"/>
      <c r="J23" s="106"/>
      <c r="K23" s="106"/>
      <c r="L23" s="106"/>
      <c r="M23" s="106"/>
      <c r="N23" s="106"/>
      <c r="O23" s="106"/>
      <c r="P23" s="106"/>
    </row>
    <row r="24" spans="2:16" ht="60" x14ac:dyDescent="0.25">
      <c r="B24" s="23">
        <v>8</v>
      </c>
      <c r="C24" s="24" t="s">
        <v>53</v>
      </c>
      <c r="D24" s="25" t="s">
        <v>54</v>
      </c>
      <c r="E24" s="25" t="s">
        <v>55</v>
      </c>
      <c r="F24" s="26">
        <v>0.1749</v>
      </c>
      <c r="G24" s="27">
        <v>0.2</v>
      </c>
      <c r="H24" s="28">
        <f>F24 * G24 * 14997.740156</f>
        <v>524.62095065688004</v>
      </c>
      <c r="I24" s="28">
        <f>F24 * G24 * 33748.482816</f>
        <v>1180.5219289036802</v>
      </c>
      <c r="J24" s="28">
        <f>F24 * G24 * 49.45346</f>
        <v>1.7298820308000002</v>
      </c>
      <c r="K24" s="28">
        <f>F24 * G24 * 14277.848628</f>
        <v>499.43914500744006</v>
      </c>
      <c r="L24" s="28">
        <f>F24 * G24 * 6622.720131</f>
        <v>231.66275018238002</v>
      </c>
      <c r="M24" s="28">
        <f>F24 * G24 * 2999.548031</f>
        <v>104.92419012438</v>
      </c>
      <c r="N24" s="29">
        <f>SUM(H24:M24)</f>
        <v>2542.8988469055603</v>
      </c>
      <c r="O24" s="92">
        <f>N24*1.07*1.09*1.05</f>
        <v>3114.0720714032532</v>
      </c>
      <c r="P24" s="30">
        <f>IF($P$10&gt;0,O24/$P$10/12,0)</f>
        <v>2.7870906019790687E-2</v>
      </c>
    </row>
    <row r="25" spans="2:16" s="31" customFormat="1" ht="14.25" x14ac:dyDescent="0.2">
      <c r="B25" s="32"/>
      <c r="C25" s="33" t="s">
        <v>56</v>
      </c>
      <c r="D25" s="106" t="s">
        <v>57</v>
      </c>
      <c r="E25" s="106"/>
      <c r="F25" s="106"/>
      <c r="G25" s="106"/>
      <c r="H25" s="106"/>
      <c r="I25" s="106"/>
      <c r="J25" s="106"/>
      <c r="K25" s="106"/>
      <c r="L25" s="106"/>
      <c r="M25" s="106"/>
      <c r="N25" s="106"/>
      <c r="O25" s="106"/>
      <c r="P25" s="106"/>
    </row>
    <row r="26" spans="2:16" ht="45" x14ac:dyDescent="0.25">
      <c r="B26" s="23">
        <v>9</v>
      </c>
      <c r="C26" s="24" t="s">
        <v>58</v>
      </c>
      <c r="D26" s="25" t="s">
        <v>59</v>
      </c>
      <c r="E26" s="25" t="s">
        <v>60</v>
      </c>
      <c r="F26" s="26">
        <v>0.34970000000000001</v>
      </c>
      <c r="G26" s="27">
        <v>0.2</v>
      </c>
      <c r="H26" s="28">
        <f>F26 * G26 * 6937.8768</f>
        <v>485.23510339200004</v>
      </c>
      <c r="I26" s="28">
        <f>F26 * G26 * 7811.443612</f>
        <v>546.33236622328002</v>
      </c>
      <c r="J26" s="28">
        <f>F26 * G26 * 0</f>
        <v>0</v>
      </c>
      <c r="K26" s="28">
        <f>F26 * G26 * 6604.858714</f>
        <v>461.94381845716003</v>
      </c>
      <c r="L26" s="28">
        <f>F26 * G26 * 2242.188809</f>
        <v>156.81868530146002</v>
      </c>
      <c r="M26" s="28">
        <f>F26 * G26 * 1387.57536</f>
        <v>97.047020678400003</v>
      </c>
      <c r="N26" s="29">
        <f>SUM(H26:M26)</f>
        <v>1747.3769940523</v>
      </c>
      <c r="O26" s="92">
        <f>N26*1.07*1.09*1.05</f>
        <v>2139.8640775713575</v>
      </c>
      <c r="P26" s="30">
        <f>IF($P$10&gt;0,O26/$P$10/12,0)</f>
        <v>1.9151756681804296E-2</v>
      </c>
    </row>
    <row r="27" spans="2:16" s="31" customFormat="1" ht="14.25" x14ac:dyDescent="0.2">
      <c r="B27" s="32"/>
      <c r="C27" s="33" t="s">
        <v>61</v>
      </c>
      <c r="D27" s="106" t="s">
        <v>62</v>
      </c>
      <c r="E27" s="106"/>
      <c r="F27" s="106"/>
      <c r="G27" s="106"/>
      <c r="H27" s="106"/>
      <c r="I27" s="106"/>
      <c r="J27" s="106"/>
      <c r="K27" s="106"/>
      <c r="L27" s="106"/>
      <c r="M27" s="106"/>
      <c r="N27" s="106"/>
      <c r="O27" s="106"/>
      <c r="P27" s="106"/>
    </row>
    <row r="28" spans="2:16" s="31" customFormat="1" ht="14.25" x14ac:dyDescent="0.2">
      <c r="B28" s="32"/>
      <c r="C28" s="33" t="s">
        <v>63</v>
      </c>
      <c r="D28" s="107" t="s">
        <v>64</v>
      </c>
      <c r="E28" s="107"/>
      <c r="F28" s="107"/>
      <c r="G28" s="107"/>
      <c r="H28" s="107"/>
      <c r="I28" s="107"/>
      <c r="J28" s="107"/>
      <c r="K28" s="107"/>
      <c r="L28" s="107"/>
      <c r="M28" s="107"/>
      <c r="N28" s="107"/>
      <c r="O28" s="107"/>
      <c r="P28" s="107"/>
    </row>
    <row r="29" spans="2:16" ht="45" x14ac:dyDescent="0.25">
      <c r="B29" s="23">
        <v>10</v>
      </c>
      <c r="C29" s="24" t="s">
        <v>65</v>
      </c>
      <c r="D29" s="25" t="s">
        <v>66</v>
      </c>
      <c r="E29" s="25" t="s">
        <v>67</v>
      </c>
      <c r="F29" s="26"/>
      <c r="G29" s="27">
        <v>1</v>
      </c>
      <c r="H29" s="28">
        <f>F29 * G29 * 30827.8725</f>
        <v>0</v>
      </c>
      <c r="I29" s="28">
        <f>F29 * G29 * 10627.539883</f>
        <v>0</v>
      </c>
      <c r="J29" s="28">
        <f>F29 * G29 * 10113.18</f>
        <v>0</v>
      </c>
      <c r="K29" s="28">
        <f>F29 * G29 * 29348.13462</f>
        <v>0</v>
      </c>
      <c r="L29" s="28">
        <f>F29 * G29 * 8496.256335</f>
        <v>0</v>
      </c>
      <c r="M29" s="28">
        <f>F29 * G29 * 6165.5745</f>
        <v>0</v>
      </c>
      <c r="N29" s="29">
        <f>SUM(H29:M29)</f>
        <v>0</v>
      </c>
      <c r="O29" s="92">
        <f t="shared" ref="O29:O30" si="4">N29*1.07*1.09*1.05</f>
        <v>0</v>
      </c>
      <c r="P29" s="30">
        <f t="shared" ref="P29:P30" si="5">IF($P$10&gt;0,O29/$P$10/12,0)</f>
        <v>0</v>
      </c>
    </row>
    <row r="30" spans="2:16" ht="45" x14ac:dyDescent="0.25">
      <c r="B30" s="23">
        <v>11</v>
      </c>
      <c r="C30" s="24" t="s">
        <v>68</v>
      </c>
      <c r="D30" s="25" t="s">
        <v>69</v>
      </c>
      <c r="E30" s="25" t="s">
        <v>67</v>
      </c>
      <c r="F30" s="26">
        <v>1.7500000000000002E-2</v>
      </c>
      <c r="G30" s="27">
        <v>1</v>
      </c>
      <c r="H30" s="28">
        <f>F30 * G30 * 30827.8725</f>
        <v>539.4877687500001</v>
      </c>
      <c r="I30" s="28">
        <f>F30 * G30 * 8101.812701</f>
        <v>141.78172226750002</v>
      </c>
      <c r="J30" s="28">
        <f>F30 * G30 * 10113.18</f>
        <v>176.98065000000003</v>
      </c>
      <c r="K30" s="28">
        <f>F30 * G30 * 29348.13462</f>
        <v>513.5923558500001</v>
      </c>
      <c r="L30" s="28">
        <f>F30 * G30 * 8231.054981</f>
        <v>144.0434621675</v>
      </c>
      <c r="M30" s="28">
        <f>F30 * G30 * 6165.5745</f>
        <v>107.89755375</v>
      </c>
      <c r="N30" s="29">
        <f>SUM(H30:M30)</f>
        <v>1623.7835127850001</v>
      </c>
      <c r="O30" s="92">
        <f t="shared" si="4"/>
        <v>1988.5096465092031</v>
      </c>
      <c r="P30" s="30">
        <f t="shared" si="5"/>
        <v>1.7797136420266379E-2</v>
      </c>
    </row>
    <row r="31" spans="2:16" s="31" customFormat="1" ht="14.25" x14ac:dyDescent="0.2">
      <c r="B31" s="32"/>
      <c r="C31" s="33" t="s">
        <v>70</v>
      </c>
      <c r="D31" s="106" t="s">
        <v>71</v>
      </c>
      <c r="E31" s="106"/>
      <c r="F31" s="106"/>
      <c r="G31" s="106"/>
      <c r="H31" s="106"/>
      <c r="I31" s="106"/>
      <c r="J31" s="106"/>
      <c r="K31" s="106"/>
      <c r="L31" s="106"/>
      <c r="M31" s="106"/>
      <c r="N31" s="106"/>
      <c r="O31" s="106"/>
      <c r="P31" s="106"/>
    </row>
    <row r="32" spans="2:16" s="31" customFormat="1" ht="14.25" x14ac:dyDescent="0.2">
      <c r="B32" s="32"/>
      <c r="C32" s="33" t="s">
        <v>72</v>
      </c>
      <c r="D32" s="107" t="s">
        <v>73</v>
      </c>
      <c r="E32" s="107"/>
      <c r="F32" s="107"/>
      <c r="G32" s="107"/>
      <c r="H32" s="107"/>
      <c r="I32" s="107"/>
      <c r="J32" s="107"/>
      <c r="K32" s="107"/>
      <c r="L32" s="107"/>
      <c r="M32" s="107"/>
      <c r="N32" s="107"/>
      <c r="O32" s="107"/>
      <c r="P32" s="107"/>
    </row>
    <row r="33" spans="2:16" ht="30" x14ac:dyDescent="0.25">
      <c r="B33" s="23">
        <v>12</v>
      </c>
      <c r="C33" s="24" t="s">
        <v>74</v>
      </c>
      <c r="D33" s="25" t="s">
        <v>75</v>
      </c>
      <c r="E33" s="25" t="s">
        <v>76</v>
      </c>
      <c r="F33" s="26">
        <v>13</v>
      </c>
      <c r="G33" s="27">
        <v>0.2</v>
      </c>
      <c r="H33" s="28">
        <f>F33 * G33 * 1027.59575</f>
        <v>2671.7489500000001</v>
      </c>
      <c r="I33" s="28">
        <f>F33 * G33 * 2323.750768</f>
        <v>6041.7519967999997</v>
      </c>
      <c r="J33" s="28">
        <f>F33 * G33 * 0</f>
        <v>0</v>
      </c>
      <c r="K33" s="28">
        <f>F33 * G33 * 978.271152999999</f>
        <v>2543.5049977999975</v>
      </c>
      <c r="L33" s="28">
        <f>F33 * G33 * 454.609855</f>
        <v>1181.985623</v>
      </c>
      <c r="M33" s="28">
        <f>F33 * G33 * 205.51915</f>
        <v>534.34978999999998</v>
      </c>
      <c r="N33" s="29">
        <f>SUM(H33:M33)</f>
        <v>12973.341357599997</v>
      </c>
      <c r="O33" s="92">
        <f>N33*1.07*1.09*1.05</f>
        <v>15887.348426637323</v>
      </c>
      <c r="P33" s="30">
        <f>IF($P$10&gt;0,O33/$P$10/12,0)</f>
        <v>0.14219156935020696</v>
      </c>
    </row>
    <row r="34" spans="2:16" s="31" customFormat="1" ht="14.25" x14ac:dyDescent="0.2">
      <c r="B34" s="32"/>
      <c r="C34" s="33" t="s">
        <v>77</v>
      </c>
      <c r="D34" s="107" t="s">
        <v>78</v>
      </c>
      <c r="E34" s="107"/>
      <c r="F34" s="107"/>
      <c r="G34" s="107"/>
      <c r="H34" s="107"/>
      <c r="I34" s="107"/>
      <c r="J34" s="107"/>
      <c r="K34" s="107"/>
      <c r="L34" s="107"/>
      <c r="M34" s="107"/>
      <c r="N34" s="107"/>
      <c r="O34" s="107"/>
      <c r="P34" s="107"/>
    </row>
    <row r="35" spans="2:16" ht="60" x14ac:dyDescent="0.25">
      <c r="B35" s="23">
        <v>13</v>
      </c>
      <c r="C35" s="24" t="s">
        <v>79</v>
      </c>
      <c r="D35" s="25" t="s">
        <v>80</v>
      </c>
      <c r="E35" s="25" t="s">
        <v>81</v>
      </c>
      <c r="F35" s="26">
        <v>0.3</v>
      </c>
      <c r="G35" s="27">
        <v>0.2</v>
      </c>
      <c r="H35" s="28">
        <f>F35 * G35 * 7596.998948</f>
        <v>455.81993688</v>
      </c>
      <c r="I35" s="28">
        <f>F35 * G35 * 7106.011704</f>
        <v>426.36070223999997</v>
      </c>
      <c r="J35" s="28">
        <f>F35 * G35 * 10396.31145</f>
        <v>623.77868699999988</v>
      </c>
      <c r="K35" s="28">
        <f>F35 * G35 * 10278.820876</f>
        <v>616.72925255999996</v>
      </c>
      <c r="L35" s="28">
        <f>F35 * G35 * 3714.705013</f>
        <v>222.88230077999998</v>
      </c>
      <c r="M35" s="28">
        <f>F35 * G35 * 2159.416151</f>
        <v>129.56496905999998</v>
      </c>
      <c r="N35" s="29">
        <f>SUM(H35:M35)</f>
        <v>2475.1358485199999</v>
      </c>
      <c r="O35" s="92">
        <f>N35*1.07*1.09*1.05</f>
        <v>3031.0884871353201</v>
      </c>
      <c r="P35" s="30">
        <f>IF($P$10&gt;0,O35/$P$10/12,0)</f>
        <v>2.7128203980375545E-2</v>
      </c>
    </row>
    <row r="36" spans="2:16" s="31" customFormat="1" ht="14.25" x14ac:dyDescent="0.2">
      <c r="B36" s="32"/>
      <c r="C36" s="33" t="s">
        <v>82</v>
      </c>
      <c r="D36" s="106" t="s">
        <v>83</v>
      </c>
      <c r="E36" s="106"/>
      <c r="F36" s="106"/>
      <c r="G36" s="106"/>
      <c r="H36" s="106"/>
      <c r="I36" s="106"/>
      <c r="J36" s="106"/>
      <c r="K36" s="106"/>
      <c r="L36" s="106"/>
      <c r="M36" s="106"/>
      <c r="N36" s="106"/>
      <c r="O36" s="106"/>
      <c r="P36" s="106"/>
    </row>
    <row r="37" spans="2:16" s="31" customFormat="1" ht="14.25" x14ac:dyDescent="0.2">
      <c r="B37" s="32"/>
      <c r="C37" s="33" t="s">
        <v>84</v>
      </c>
      <c r="D37" s="107" t="s">
        <v>85</v>
      </c>
      <c r="E37" s="107"/>
      <c r="F37" s="107"/>
      <c r="G37" s="107"/>
      <c r="H37" s="107"/>
      <c r="I37" s="107"/>
      <c r="J37" s="107"/>
      <c r="K37" s="107"/>
      <c r="L37" s="107"/>
      <c r="M37" s="107"/>
      <c r="N37" s="107"/>
      <c r="O37" s="107"/>
      <c r="P37" s="107"/>
    </row>
    <row r="38" spans="2:16" ht="45" x14ac:dyDescent="0.25">
      <c r="B38" s="23">
        <v>14</v>
      </c>
      <c r="C38" s="24" t="s">
        <v>86</v>
      </c>
      <c r="D38" s="25" t="s">
        <v>87</v>
      </c>
      <c r="E38" s="25" t="s">
        <v>88</v>
      </c>
      <c r="F38" s="26">
        <v>0.26229999999999998</v>
      </c>
      <c r="G38" s="27">
        <v>1</v>
      </c>
      <c r="H38" s="28">
        <f>F38 * G38 * 4662.43888</f>
        <v>1222.9577182239998</v>
      </c>
      <c r="I38" s="28">
        <f>F38 * G38 * 2957.723572</f>
        <v>775.8108929355999</v>
      </c>
      <c r="J38" s="28">
        <f>F38 * G38 * 1024.80224</f>
        <v>268.80562755199998</v>
      </c>
      <c r="K38" s="28">
        <f>F38 * G38 * 4438.641814</f>
        <v>1164.2557478121998</v>
      </c>
      <c r="L38" s="28">
        <f>F38 * G38 * 1373.77868399999</f>
        <v>360.34214881319735</v>
      </c>
      <c r="M38" s="28">
        <f>F38 * G38 * 932.487776</f>
        <v>244.5915436448</v>
      </c>
      <c r="N38" s="29">
        <f>SUM(H38:M38)</f>
        <v>4036.7636789817966</v>
      </c>
      <c r="O38" s="92">
        <f>N38*1.07*1.09*1.05</f>
        <v>4943.481352736293</v>
      </c>
      <c r="P38" s="30">
        <f>IF($P$10&gt;0,O38/$P$10/12,0)</f>
        <v>4.4244096165255188E-2</v>
      </c>
    </row>
    <row r="39" spans="2:16" s="31" customFormat="1" ht="14.25" x14ac:dyDescent="0.2">
      <c r="B39" s="32"/>
      <c r="C39" s="33" t="s">
        <v>89</v>
      </c>
      <c r="D39" s="106" t="s">
        <v>90</v>
      </c>
      <c r="E39" s="106"/>
      <c r="F39" s="106"/>
      <c r="G39" s="106"/>
      <c r="H39" s="106"/>
      <c r="I39" s="106"/>
      <c r="J39" s="106"/>
      <c r="K39" s="106"/>
      <c r="L39" s="106"/>
      <c r="M39" s="106"/>
      <c r="N39" s="106"/>
      <c r="O39" s="106"/>
      <c r="P39" s="106"/>
    </row>
    <row r="40" spans="2:16" ht="30" x14ac:dyDescent="0.25">
      <c r="B40" s="23">
        <v>15</v>
      </c>
      <c r="C40" s="24" t="s">
        <v>91</v>
      </c>
      <c r="D40" s="25" t="s">
        <v>92</v>
      </c>
      <c r="E40" s="25" t="s">
        <v>93</v>
      </c>
      <c r="F40" s="26">
        <v>1</v>
      </c>
      <c r="G40" s="27">
        <v>0.2</v>
      </c>
      <c r="H40" s="28">
        <f>F40 * G40 * 3076.866862</f>
        <v>615.37337239999999</v>
      </c>
      <c r="I40" s="28">
        <f>F40 * G40 * 24.789755</f>
        <v>4.9579510000000004</v>
      </c>
      <c r="J40" s="28">
        <f>F40 * G40 * 0</f>
        <v>0</v>
      </c>
      <c r="K40" s="28">
        <f>F40 * G40 * 2929.177252</f>
        <v>585.83545040000001</v>
      </c>
      <c r="L40" s="28">
        <f>F40 * G40 * 633.237556</f>
        <v>126.64751120000001</v>
      </c>
      <c r="M40" s="28">
        <f>F40 * G40 * 615.373372</f>
        <v>123.07467440000001</v>
      </c>
      <c r="N40" s="29">
        <f>SUM(H40:M40)</f>
        <v>1455.8889594000002</v>
      </c>
      <c r="O40" s="92">
        <f t="shared" ref="O40:O41" si="6">N40*1.07*1.09*1.05</f>
        <v>1782.9034580156315</v>
      </c>
      <c r="P40" s="30">
        <f t="shared" ref="P40:P41" si="7">IF($P$10&gt;0,O40/$P$10/12,0)</f>
        <v>1.5956963609490848E-2</v>
      </c>
    </row>
    <row r="41" spans="2:16" ht="45" x14ac:dyDescent="0.25">
      <c r="B41" s="23">
        <v>16</v>
      </c>
      <c r="C41" s="24" t="s">
        <v>94</v>
      </c>
      <c r="D41" s="25" t="s">
        <v>95</v>
      </c>
      <c r="E41" s="25" t="s">
        <v>67</v>
      </c>
      <c r="F41" s="26">
        <v>1</v>
      </c>
      <c r="G41" s="27">
        <v>0.2</v>
      </c>
      <c r="H41" s="28">
        <f>F41 * G41 * 30827.8725</f>
        <v>6165.5745000000006</v>
      </c>
      <c r="I41" s="28">
        <f>F41 * G41 * 8101.812701</f>
        <v>1620.3625402</v>
      </c>
      <c r="J41" s="28">
        <f>F41 * G41 * 0</f>
        <v>0</v>
      </c>
      <c r="K41" s="28">
        <f>F41 * G41 * 29348.13462</f>
        <v>5869.6269240000001</v>
      </c>
      <c r="L41" s="28">
        <f>F41 * G41 * 7169.171081</f>
        <v>1433.8342162000001</v>
      </c>
      <c r="M41" s="28">
        <f>F41 * G41 * 6165.5745</f>
        <v>1233.1149</v>
      </c>
      <c r="N41" s="29">
        <f>SUM(H41:M41)</f>
        <v>16322.513080400002</v>
      </c>
      <c r="O41" s="92">
        <f t="shared" si="6"/>
        <v>19988.794355954051</v>
      </c>
      <c r="P41" s="30">
        <f t="shared" si="7"/>
        <v>0.17889945902654611</v>
      </c>
    </row>
    <row r="42" spans="2:16" s="31" customFormat="1" ht="14.25" x14ac:dyDescent="0.2">
      <c r="B42" s="32"/>
      <c r="C42" s="33" t="s">
        <v>96</v>
      </c>
      <c r="D42" s="106" t="s">
        <v>97</v>
      </c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</row>
    <row r="43" spans="2:16" x14ac:dyDescent="0.25">
      <c r="B43" s="23">
        <v>17</v>
      </c>
      <c r="C43" s="24" t="s">
        <v>98</v>
      </c>
      <c r="D43" s="25" t="s">
        <v>99</v>
      </c>
      <c r="E43" s="25" t="s">
        <v>100</v>
      </c>
      <c r="F43" s="26">
        <v>0.1</v>
      </c>
      <c r="G43" s="27">
        <v>0.2</v>
      </c>
      <c r="H43" s="28">
        <f>F43 * G43 * 6745.158</f>
        <v>134.90316000000004</v>
      </c>
      <c r="I43" s="28">
        <f>F43 * G43 * 1538.831062</f>
        <v>30.776621240000004</v>
      </c>
      <c r="J43" s="28">
        <f>F43 * G43 * 0</f>
        <v>0</v>
      </c>
      <c r="K43" s="28">
        <f>F43 * G43 * 6421.390416</f>
        <v>128.42780832000003</v>
      </c>
      <c r="L43" s="28">
        <f>F43 * G43 * 1544.06484499999</f>
        <v>30.881296899999807</v>
      </c>
      <c r="M43" s="28">
        <f>F43 * G43 * 1349.0316</f>
        <v>26.980632000000007</v>
      </c>
      <c r="N43" s="29">
        <f>SUM(H43:M43)</f>
        <v>351.9695184599999</v>
      </c>
      <c r="O43" s="92">
        <f>N43*1.07*1.09*1.05</f>
        <v>431.02715184889286</v>
      </c>
      <c r="P43" s="30">
        <f>IF($P$10&gt;0,O43/$P$10/12,0)</f>
        <v>3.8576876082849396E-3</v>
      </c>
    </row>
    <row r="44" spans="2:16" s="31" customFormat="1" ht="14.25" x14ac:dyDescent="0.2">
      <c r="B44" s="32"/>
      <c r="C44" s="33" t="s">
        <v>101</v>
      </c>
      <c r="D44" s="106" t="s">
        <v>102</v>
      </c>
      <c r="E44" s="106"/>
      <c r="F44" s="106"/>
      <c r="G44" s="106"/>
      <c r="H44" s="106"/>
      <c r="I44" s="106"/>
      <c r="J44" s="106"/>
      <c r="K44" s="106"/>
      <c r="L44" s="106"/>
      <c r="M44" s="106"/>
      <c r="N44" s="106"/>
      <c r="O44" s="106"/>
      <c r="P44" s="106"/>
    </row>
    <row r="45" spans="2:16" s="31" customFormat="1" ht="14.25" x14ac:dyDescent="0.2">
      <c r="B45" s="32"/>
      <c r="C45" s="33" t="s">
        <v>103</v>
      </c>
      <c r="D45" s="107" t="s">
        <v>104</v>
      </c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</row>
    <row r="46" spans="2:16" ht="45" x14ac:dyDescent="0.25">
      <c r="B46" s="23">
        <v>18</v>
      </c>
      <c r="C46" s="24" t="s">
        <v>105</v>
      </c>
      <c r="D46" s="25" t="s">
        <v>106</v>
      </c>
      <c r="E46" s="25" t="s">
        <v>107</v>
      </c>
      <c r="F46" s="26">
        <v>4.3700000000000003E-2</v>
      </c>
      <c r="G46" s="27">
        <v>1</v>
      </c>
      <c r="H46" s="28">
        <f>F46 * G46 * 19646.286385</f>
        <v>858.54271502450001</v>
      </c>
      <c r="I46" s="28">
        <f>F46 * G46 * 2217.473888</f>
        <v>96.903608905600009</v>
      </c>
      <c r="J46" s="28">
        <f>F46 * G46 * 0</f>
        <v>0</v>
      </c>
      <c r="K46" s="28">
        <f>F46 * G46 * 18703.264638</f>
        <v>817.33266468060003</v>
      </c>
      <c r="L46" s="28">
        <f>F46 * G46 * 4259.537616</f>
        <v>186.14179381919999</v>
      </c>
      <c r="M46" s="28">
        <f>F46 * G46 * 3929.257277</f>
        <v>171.70854300490001</v>
      </c>
      <c r="N46" s="29">
        <f>SUM(H46:M46)</f>
        <v>2130.6293254348002</v>
      </c>
      <c r="O46" s="92">
        <f>N46*1.07*1.09*1.05</f>
        <v>2609.2006313673382</v>
      </c>
      <c r="P46" s="30">
        <f>IF($P$10&gt;0,O46/$P$10/12,0)</f>
        <v>2.3352312957499538E-2</v>
      </c>
    </row>
    <row r="47" spans="2:16" s="31" customFormat="1" ht="14.25" x14ac:dyDescent="0.2">
      <c r="B47" s="32"/>
      <c r="C47" s="33" t="s">
        <v>108</v>
      </c>
      <c r="D47" s="106" t="s">
        <v>109</v>
      </c>
      <c r="E47" s="106"/>
      <c r="F47" s="106"/>
      <c r="G47" s="106"/>
      <c r="H47" s="106"/>
      <c r="I47" s="106"/>
      <c r="J47" s="106"/>
      <c r="K47" s="106"/>
      <c r="L47" s="106"/>
      <c r="M47" s="106"/>
      <c r="N47" s="106"/>
      <c r="O47" s="106"/>
      <c r="P47" s="106"/>
    </row>
    <row r="48" spans="2:16" s="31" customFormat="1" ht="14.25" x14ac:dyDescent="0.2">
      <c r="B48" s="32"/>
      <c r="C48" s="33" t="s">
        <v>110</v>
      </c>
      <c r="D48" s="107" t="s">
        <v>111</v>
      </c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</row>
    <row r="49" spans="2:16" ht="60" x14ac:dyDescent="0.25">
      <c r="B49" s="23">
        <v>19</v>
      </c>
      <c r="C49" s="24" t="s">
        <v>112</v>
      </c>
      <c r="D49" s="25" t="s">
        <v>113</v>
      </c>
      <c r="E49" s="25" t="s">
        <v>114</v>
      </c>
      <c r="F49" s="26">
        <v>0.12239999999999999</v>
      </c>
      <c r="G49" s="27">
        <v>1</v>
      </c>
      <c r="H49" s="28">
        <f>F49 * G49 * 6055.30456</f>
        <v>741.16927814399992</v>
      </c>
      <c r="I49" s="28">
        <f>F49 * G49 * 8453.178247</f>
        <v>1034.6690174328</v>
      </c>
      <c r="J49" s="28">
        <f>F49 * G49 * 0</f>
        <v>0</v>
      </c>
      <c r="K49" s="28">
        <f>F49 * G49 * 5764.649941</f>
        <v>705.59315277839994</v>
      </c>
      <c r="L49" s="28">
        <f>F49 * G49 * 2128.678939</f>
        <v>260.55030213359998</v>
      </c>
      <c r="M49" s="28">
        <f>F49 * G49 * 1211.060912</f>
        <v>148.23385562879997</v>
      </c>
      <c r="N49" s="29">
        <f>SUM(H49:M49)</f>
        <v>2890.2156061175997</v>
      </c>
      <c r="O49" s="92">
        <f>N49*1.07*1.09*1.05</f>
        <v>3539.4013844857054</v>
      </c>
      <c r="P49" s="30">
        <f>IF($P$10&gt;0,O49/$P$10/12,0)</f>
        <v>3.1677598042509802E-2</v>
      </c>
    </row>
    <row r="50" spans="2:16" s="31" customFormat="1" ht="14.25" x14ac:dyDescent="0.2">
      <c r="B50" s="32"/>
      <c r="C50" s="33" t="s">
        <v>115</v>
      </c>
      <c r="D50" s="106" t="s">
        <v>116</v>
      </c>
      <c r="E50" s="106"/>
      <c r="F50" s="106"/>
      <c r="G50" s="106"/>
      <c r="H50" s="106"/>
      <c r="I50" s="106"/>
      <c r="J50" s="106"/>
      <c r="K50" s="106"/>
      <c r="L50" s="106"/>
      <c r="M50" s="106"/>
      <c r="N50" s="106"/>
      <c r="O50" s="106"/>
      <c r="P50" s="106"/>
    </row>
    <row r="51" spans="2:16" ht="30" x14ac:dyDescent="0.25">
      <c r="B51" s="23">
        <v>20</v>
      </c>
      <c r="C51" s="24" t="s">
        <v>117</v>
      </c>
      <c r="D51" s="25" t="s">
        <v>118</v>
      </c>
      <c r="E51" s="25" t="s">
        <v>119</v>
      </c>
      <c r="F51" s="26">
        <v>6.9900000000000004E-2</v>
      </c>
      <c r="G51" s="27">
        <v>1</v>
      </c>
      <c r="H51" s="28">
        <f>F51 * G51 * 41103.83</f>
        <v>2873.1577170000005</v>
      </c>
      <c r="I51" s="28">
        <f>F51 * G51 * 20433.603425</f>
        <v>1428.3088794075002</v>
      </c>
      <c r="J51" s="28">
        <f>F51 * G51 * 0</f>
        <v>0</v>
      </c>
      <c r="K51" s="28">
        <f>F51 * G51 * 39130.84616</f>
        <v>2735.2461465840001</v>
      </c>
      <c r="L51" s="28">
        <f>F51 * G51 * 10570.169357</f>
        <v>738.8548380543001</v>
      </c>
      <c r="M51" s="28">
        <f>F51 * G51 * 8220.766</f>
        <v>574.63154340000006</v>
      </c>
      <c r="N51" s="29">
        <f>SUM(H51:M51)</f>
        <v>8350.1991244458022</v>
      </c>
      <c r="O51" s="92">
        <f t="shared" ref="O51:O55" si="8">N51*1.07*1.09*1.05</f>
        <v>10225.779100783198</v>
      </c>
      <c r="P51" s="30">
        <f t="shared" ref="P51:P55" si="9">IF($P$10&gt;0,O51/$P$10/12,0)</f>
        <v>9.1520594823176871E-2</v>
      </c>
    </row>
    <row r="52" spans="2:16" x14ac:dyDescent="0.25">
      <c r="B52" s="23">
        <v>21</v>
      </c>
      <c r="C52" s="24" t="s">
        <v>120</v>
      </c>
      <c r="D52" s="25" t="s">
        <v>121</v>
      </c>
      <c r="E52" s="25" t="s">
        <v>122</v>
      </c>
      <c r="F52" s="26">
        <v>0.34970000000000001</v>
      </c>
      <c r="G52" s="27">
        <v>1</v>
      </c>
      <c r="H52" s="28">
        <f>F52 * G52 * 6167.0016</f>
        <v>2156.6004595199997</v>
      </c>
      <c r="I52" s="28">
        <f>F52 * G52 * 120.736201</f>
        <v>42.221449489699999</v>
      </c>
      <c r="J52" s="28">
        <f>F52 * G52 * 0</f>
        <v>0</v>
      </c>
      <c r="K52" s="28">
        <f>F52 * G52 * 5870.98552299999</f>
        <v>2053.0836373930965</v>
      </c>
      <c r="L52" s="28">
        <f>F52 * G52 * 1276.665949</f>
        <v>446.45008236529998</v>
      </c>
      <c r="M52" s="28">
        <f>F52 * G52 * 1233.40032</f>
        <v>431.32009190399998</v>
      </c>
      <c r="N52" s="29">
        <f>SUM(H52:M52)</f>
        <v>5129.6757206720958</v>
      </c>
      <c r="O52" s="92">
        <f t="shared" si="8"/>
        <v>6281.8778326708598</v>
      </c>
      <c r="P52" s="30">
        <f t="shared" si="9"/>
        <v>5.6222727890585154E-2</v>
      </c>
    </row>
    <row r="53" spans="2:16" ht="60" x14ac:dyDescent="0.25">
      <c r="B53" s="23">
        <v>22</v>
      </c>
      <c r="C53" s="24" t="s">
        <v>123</v>
      </c>
      <c r="D53" s="25" t="s">
        <v>124</v>
      </c>
      <c r="E53" s="25" t="s">
        <v>114</v>
      </c>
      <c r="F53" s="26">
        <v>6.9900000000000004E-2</v>
      </c>
      <c r="G53" s="27">
        <v>1</v>
      </c>
      <c r="H53" s="28">
        <f>F53 * G53 * 6910.411758</f>
        <v>483.03778188420006</v>
      </c>
      <c r="I53" s="28">
        <f>F53 * G53 * 8539.427905</f>
        <v>596.90601055950003</v>
      </c>
      <c r="J53" s="28">
        <f>F53 * G53 * 0</f>
        <v>0</v>
      </c>
      <c r="K53" s="28">
        <f>F53 * G53 * 6578.711994</f>
        <v>459.85196838060006</v>
      </c>
      <c r="L53" s="28">
        <f>F53 * G53 * 2312.997924</f>
        <v>161.6785548876</v>
      </c>
      <c r="M53" s="28">
        <f>F53 * G53 * 1382.082352</f>
        <v>96.607556404799993</v>
      </c>
      <c r="N53" s="29">
        <f>SUM(H53:M53)</f>
        <v>1798.0818721167002</v>
      </c>
      <c r="O53" s="92">
        <f t="shared" si="8"/>
        <v>2201.9580318221933</v>
      </c>
      <c r="P53" s="30">
        <f t="shared" si="9"/>
        <v>1.9707496794313117E-2</v>
      </c>
    </row>
    <row r="54" spans="2:16" ht="30" x14ac:dyDescent="0.25">
      <c r="B54" s="23">
        <v>23</v>
      </c>
      <c r="C54" s="24" t="s">
        <v>125</v>
      </c>
      <c r="D54" s="25" t="s">
        <v>126</v>
      </c>
      <c r="E54" s="25" t="s">
        <v>127</v>
      </c>
      <c r="F54" s="26">
        <v>0.34970000000000001</v>
      </c>
      <c r="G54" s="27">
        <v>1</v>
      </c>
      <c r="H54" s="28">
        <f>F54 * G54 * 4047.0948</f>
        <v>1415.26905156</v>
      </c>
      <c r="I54" s="28">
        <f>F54 * G54 * 120.736201</f>
        <v>42.221449489699999</v>
      </c>
      <c r="J54" s="28">
        <f>F54 * G54 * 0</f>
        <v>0</v>
      </c>
      <c r="K54" s="28">
        <f>F54 * G54 * 3852.83425</f>
        <v>1347.3361372249999</v>
      </c>
      <c r="L54" s="28">
        <f>F54 * G54 * 842.169851</f>
        <v>294.50679689470002</v>
      </c>
      <c r="M54" s="28">
        <f>F54 * G54 * 809.41896</f>
        <v>283.053810312</v>
      </c>
      <c r="N54" s="29">
        <f>SUM(H54:M54)</f>
        <v>3382.3872454814</v>
      </c>
      <c r="O54" s="92">
        <f t="shared" si="8"/>
        <v>4142.1221566252052</v>
      </c>
      <c r="P54" s="30">
        <f t="shared" si="9"/>
        <v>3.7071941401077627E-2</v>
      </c>
    </row>
    <row r="55" spans="2:16" ht="30" x14ac:dyDescent="0.25">
      <c r="B55" s="23">
        <v>24</v>
      </c>
      <c r="C55" s="24" t="s">
        <v>128</v>
      </c>
      <c r="D55" s="25" t="s">
        <v>129</v>
      </c>
      <c r="E55" s="25" t="s">
        <v>130</v>
      </c>
      <c r="F55" s="26">
        <v>3</v>
      </c>
      <c r="G55" s="27">
        <v>1</v>
      </c>
      <c r="H55" s="28">
        <f>F55 * G55 * 144.68181</f>
        <v>434.04543000000001</v>
      </c>
      <c r="I55" s="28">
        <f>F55 * G55 * 3091.886492</f>
        <v>9275.6594760000007</v>
      </c>
      <c r="J55" s="28">
        <f>F55 * G55 * 0.02856</f>
        <v>8.5679999999999992E-2</v>
      </c>
      <c r="K55" s="28">
        <f>F55 * G55 * 137.737084</f>
        <v>413.21125200000006</v>
      </c>
      <c r="L55" s="28">
        <f>F55 * G55 * 354.305065</f>
        <v>1062.915195</v>
      </c>
      <c r="M55" s="28">
        <f>F55 * G55 * 28.936362</f>
        <v>86.809085999999994</v>
      </c>
      <c r="N55" s="29">
        <f>SUM(H55:M55)</f>
        <v>11272.726118999999</v>
      </c>
      <c r="O55" s="92">
        <f t="shared" si="8"/>
        <v>13804.749496219187</v>
      </c>
      <c r="P55" s="30">
        <f t="shared" si="9"/>
        <v>0.1235523350178927</v>
      </c>
    </row>
    <row r="56" spans="2:16" s="20" customFormat="1" ht="13.9" customHeight="1" x14ac:dyDescent="0.2">
      <c r="B56" s="21"/>
      <c r="C56" s="22" t="s">
        <v>131</v>
      </c>
      <c r="D56" s="105" t="s">
        <v>132</v>
      </c>
      <c r="E56" s="105"/>
      <c r="F56" s="105"/>
      <c r="G56" s="105"/>
      <c r="H56" s="105"/>
      <c r="I56" s="105"/>
      <c r="J56" s="105"/>
      <c r="K56" s="105"/>
      <c r="L56" s="105"/>
      <c r="M56" s="105"/>
      <c r="N56" s="105"/>
      <c r="O56" s="105"/>
      <c r="P56" s="105"/>
    </row>
    <row r="57" spans="2:16" s="31" customFormat="1" ht="14.25" x14ac:dyDescent="0.2">
      <c r="B57" s="32"/>
      <c r="C57" s="33" t="s">
        <v>133</v>
      </c>
      <c r="D57" s="106" t="s">
        <v>134</v>
      </c>
      <c r="E57" s="106"/>
      <c r="F57" s="106"/>
      <c r="G57" s="106"/>
      <c r="H57" s="106"/>
      <c r="I57" s="106"/>
      <c r="J57" s="106"/>
      <c r="K57" s="106"/>
      <c r="L57" s="106"/>
      <c r="M57" s="106"/>
      <c r="N57" s="106"/>
      <c r="O57" s="106"/>
      <c r="P57" s="106"/>
    </row>
    <row r="58" spans="2:16" s="31" customFormat="1" ht="14.25" x14ac:dyDescent="0.2">
      <c r="B58" s="32"/>
      <c r="C58" s="33" t="s">
        <v>135</v>
      </c>
      <c r="D58" s="107" t="s">
        <v>136</v>
      </c>
      <c r="E58" s="107"/>
      <c r="F58" s="107"/>
      <c r="G58" s="107"/>
      <c r="H58" s="107"/>
      <c r="I58" s="107"/>
      <c r="J58" s="107"/>
      <c r="K58" s="107"/>
      <c r="L58" s="107"/>
      <c r="M58" s="107"/>
      <c r="N58" s="107"/>
      <c r="O58" s="107"/>
      <c r="P58" s="107"/>
    </row>
    <row r="59" spans="2:16" ht="30" x14ac:dyDescent="0.25">
      <c r="B59" s="23">
        <v>25</v>
      </c>
      <c r="C59" s="24" t="s">
        <v>137</v>
      </c>
      <c r="D59" s="25" t="s">
        <v>138</v>
      </c>
      <c r="E59" s="25" t="s">
        <v>139</v>
      </c>
      <c r="F59" s="26">
        <v>1.7500000000000002E-2</v>
      </c>
      <c r="G59" s="27">
        <v>1</v>
      </c>
      <c r="H59" s="28">
        <f>F59 * G59 * 5319.03888</f>
        <v>93.083180400000003</v>
      </c>
      <c r="I59" s="28">
        <f>F59 * G59 * 6136.972387</f>
        <v>107.39701677250001</v>
      </c>
      <c r="J59" s="28">
        <f>F59 * G59 * 0</f>
        <v>0</v>
      </c>
      <c r="K59" s="28">
        <f>F59 * G59 * 5063.725014</f>
        <v>88.615187745</v>
      </c>
      <c r="L59" s="28">
        <f>F59 * G59 * 1734.572309</f>
        <v>30.355015407500002</v>
      </c>
      <c r="M59" s="28">
        <f>F59 * G59 * 1063.807776</f>
        <v>18.616636080000003</v>
      </c>
      <c r="N59" s="29">
        <f>SUM(H59:M59)</f>
        <v>338.06703640500001</v>
      </c>
      <c r="O59" s="92">
        <f>N59*1.07*1.09*1.05</f>
        <v>414.00196378710916</v>
      </c>
      <c r="P59" s="30">
        <f>IF($P$10&gt;0,O59/$P$10/12,0)</f>
        <v>3.7053123884572829E-3</v>
      </c>
    </row>
    <row r="60" spans="2:16" s="20" customFormat="1" ht="13.9" customHeight="1" x14ac:dyDescent="0.2">
      <c r="B60" s="21"/>
      <c r="C60" s="22" t="s">
        <v>140</v>
      </c>
      <c r="D60" s="105" t="s">
        <v>141</v>
      </c>
      <c r="E60" s="105"/>
      <c r="F60" s="105"/>
      <c r="G60" s="105"/>
      <c r="H60" s="105"/>
      <c r="I60" s="105"/>
      <c r="J60" s="105"/>
      <c r="K60" s="105"/>
      <c r="L60" s="105"/>
      <c r="M60" s="105"/>
      <c r="N60" s="105"/>
      <c r="O60" s="105"/>
      <c r="P60" s="105"/>
    </row>
    <row r="61" spans="2:16" s="31" customFormat="1" ht="14.25" x14ac:dyDescent="0.2">
      <c r="B61" s="32"/>
      <c r="C61" s="33" t="s">
        <v>142</v>
      </c>
      <c r="D61" s="106" t="s">
        <v>143</v>
      </c>
      <c r="E61" s="106"/>
      <c r="F61" s="106"/>
      <c r="G61" s="106"/>
      <c r="H61" s="106"/>
      <c r="I61" s="106"/>
      <c r="J61" s="106"/>
      <c r="K61" s="106"/>
      <c r="L61" s="106"/>
      <c r="M61" s="106"/>
      <c r="N61" s="106"/>
      <c r="O61" s="106"/>
      <c r="P61" s="106"/>
    </row>
    <row r="62" spans="2:16" x14ac:dyDescent="0.25">
      <c r="B62" s="23">
        <v>26</v>
      </c>
      <c r="C62" s="24" t="s">
        <v>144</v>
      </c>
      <c r="D62" s="25" t="s">
        <v>145</v>
      </c>
      <c r="E62" s="25" t="s">
        <v>146</v>
      </c>
      <c r="F62" s="26">
        <v>1</v>
      </c>
      <c r="G62" s="27">
        <v>1</v>
      </c>
      <c r="H62" s="28">
        <f>F62 * G62 * 192.318475</f>
        <v>192.31847500000001</v>
      </c>
      <c r="I62" s="28">
        <f>F62 * G62 * 96.33312</f>
        <v>96.333119999999994</v>
      </c>
      <c r="J62" s="28">
        <f>F62 * G62 * 0</f>
        <v>0</v>
      </c>
      <c r="K62" s="28">
        <f>F62 * G62 * 183.087188</f>
        <v>183.087188</v>
      </c>
      <c r="L62" s="28">
        <f>F62 * G62 * 49.532572</f>
        <v>49.532572000000002</v>
      </c>
      <c r="M62" s="28">
        <f>F62 * G62 * 38.463695</f>
        <v>38.463695000000001</v>
      </c>
      <c r="N62" s="29">
        <f>SUM(H62:M62)</f>
        <v>559.73505</v>
      </c>
      <c r="O62" s="92">
        <f>N62*1.07*1.09*1.05</f>
        <v>685.45993825575022</v>
      </c>
      <c r="P62" s="30">
        <f>IF($P$10&gt;0,O62/$P$10/12,0)</f>
        <v>6.1348578585879625E-3</v>
      </c>
    </row>
    <row r="63" spans="2:16" s="31" customFormat="1" ht="14.25" x14ac:dyDescent="0.2">
      <c r="B63" s="32"/>
      <c r="C63" s="33" t="s">
        <v>147</v>
      </c>
      <c r="D63" s="106" t="s">
        <v>148</v>
      </c>
      <c r="E63" s="106"/>
      <c r="F63" s="106"/>
      <c r="G63" s="106"/>
      <c r="H63" s="106"/>
      <c r="I63" s="106"/>
      <c r="J63" s="106"/>
      <c r="K63" s="106"/>
      <c r="L63" s="106"/>
      <c r="M63" s="106"/>
      <c r="N63" s="106"/>
      <c r="O63" s="106"/>
      <c r="P63" s="106"/>
    </row>
    <row r="64" spans="2:16" x14ac:dyDescent="0.25">
      <c r="B64" s="23">
        <v>27</v>
      </c>
      <c r="C64" s="24" t="s">
        <v>149</v>
      </c>
      <c r="D64" s="25" t="s">
        <v>150</v>
      </c>
      <c r="E64" s="25" t="s">
        <v>146</v>
      </c>
      <c r="F64" s="26">
        <v>1</v>
      </c>
      <c r="G64" s="27">
        <v>1</v>
      </c>
      <c r="H64" s="28">
        <f>F64 * G64 * 267.174895</f>
        <v>267.17489499999999</v>
      </c>
      <c r="I64" s="28">
        <f>F64 * G64 * 5.043829</f>
        <v>5.0438289999999997</v>
      </c>
      <c r="J64" s="28">
        <f>F64 * G64 * 0</f>
        <v>0</v>
      </c>
      <c r="K64" s="28">
        <f>F64 * G64 * 254.3505</f>
        <v>254.35050000000001</v>
      </c>
      <c r="L64" s="28">
        <f>F64 * G64 * 55.289768</f>
        <v>55.289768000000002</v>
      </c>
      <c r="M64" s="28">
        <f>F64 * G64 * 53.434979</f>
        <v>53.434978999999998</v>
      </c>
      <c r="N64" s="29">
        <f>SUM(H64:M64)</f>
        <v>635.29397100000006</v>
      </c>
      <c r="O64" s="92">
        <f t="shared" ref="O64:O65" si="10">N64*1.07*1.09*1.05</f>
        <v>777.99052629616517</v>
      </c>
      <c r="P64" s="30">
        <f t="shared" ref="P64:P65" si="11">IF($P$10&gt;0,O64/$P$10/12,0)</f>
        <v>6.9630054621430309E-3</v>
      </c>
    </row>
    <row r="65" spans="2:16" x14ac:dyDescent="0.25">
      <c r="B65" s="23">
        <v>28</v>
      </c>
      <c r="C65" s="24" t="s">
        <v>151</v>
      </c>
      <c r="D65" s="25" t="s">
        <v>152</v>
      </c>
      <c r="E65" s="25" t="s">
        <v>146</v>
      </c>
      <c r="F65" s="26">
        <v>1</v>
      </c>
      <c r="G65" s="27">
        <v>1</v>
      </c>
      <c r="H65" s="28">
        <f>F65 * G65 * 143.863405</f>
        <v>143.863405</v>
      </c>
      <c r="I65" s="28">
        <f>F65 * G65 * 86.290013</f>
        <v>86.290013000000002</v>
      </c>
      <c r="J65" s="28">
        <f>F65 * G65 * 0</f>
        <v>0</v>
      </c>
      <c r="K65" s="28">
        <f>F65 * G65 * 136.957961</f>
        <v>136.95796100000001</v>
      </c>
      <c r="L65" s="28">
        <f>F65 * G65 * 38.546695</f>
        <v>38.546695</v>
      </c>
      <c r="M65" s="28">
        <f>F65 * G65 * 28.772681</f>
        <v>28.772680999999999</v>
      </c>
      <c r="N65" s="29">
        <f>SUM(H65:M65)</f>
        <v>434.43075499999998</v>
      </c>
      <c r="O65" s="92">
        <f t="shared" si="10"/>
        <v>532.01041903432508</v>
      </c>
      <c r="P65" s="30">
        <f t="shared" si="11"/>
        <v>4.7614865842759918E-3</v>
      </c>
    </row>
    <row r="66" spans="2:16" s="20" customFormat="1" ht="13.9" customHeight="1" x14ac:dyDescent="0.2">
      <c r="B66" s="21"/>
      <c r="C66" s="22" t="s">
        <v>153</v>
      </c>
      <c r="D66" s="105" t="s">
        <v>154</v>
      </c>
      <c r="E66" s="105"/>
      <c r="F66" s="105"/>
      <c r="G66" s="105"/>
      <c r="H66" s="105"/>
      <c r="I66" s="105"/>
      <c r="J66" s="105"/>
      <c r="K66" s="105"/>
      <c r="L66" s="105"/>
      <c r="M66" s="105"/>
      <c r="N66" s="105"/>
      <c r="O66" s="105"/>
      <c r="P66" s="105"/>
    </row>
    <row r="67" spans="2:16" s="31" customFormat="1" ht="14.25" x14ac:dyDescent="0.2">
      <c r="B67" s="32"/>
      <c r="C67" s="33" t="s">
        <v>155</v>
      </c>
      <c r="D67" s="106" t="s">
        <v>156</v>
      </c>
      <c r="E67" s="106"/>
      <c r="F67" s="106"/>
      <c r="G67" s="106"/>
      <c r="H67" s="106"/>
      <c r="I67" s="106"/>
      <c r="J67" s="106"/>
      <c r="K67" s="106"/>
      <c r="L67" s="106"/>
      <c r="M67" s="106"/>
      <c r="N67" s="106"/>
      <c r="O67" s="106"/>
      <c r="P67" s="106"/>
    </row>
    <row r="68" spans="2:16" ht="30" x14ac:dyDescent="0.25">
      <c r="B68" s="23">
        <v>29</v>
      </c>
      <c r="C68" s="24" t="s">
        <v>157</v>
      </c>
      <c r="D68" s="25" t="s">
        <v>158</v>
      </c>
      <c r="E68" s="25" t="s">
        <v>159</v>
      </c>
      <c r="F68" s="26">
        <v>0.43709999999999999</v>
      </c>
      <c r="G68" s="27">
        <v>1</v>
      </c>
      <c r="H68" s="28">
        <f>F68 * G68 * 574.941405</f>
        <v>251.3068881255</v>
      </c>
      <c r="I68" s="28">
        <f>F68 * G68 * 74.282522</f>
        <v>32.4688903662</v>
      </c>
      <c r="J68" s="28">
        <f>F68 * G68 * 0</f>
        <v>0</v>
      </c>
      <c r="K68" s="28">
        <f>F68 * G68 * 547.344217</f>
        <v>239.24415725069997</v>
      </c>
      <c r="L68" s="28">
        <f>F68 * G68 * 125.639654999999</f>
        <v>54.917093200499558</v>
      </c>
      <c r="M68" s="28">
        <f>F68 * G68 * 114.988281</f>
        <v>50.261377625099996</v>
      </c>
      <c r="N68" s="29">
        <f>SUM(H68:M68)</f>
        <v>628.19840656799954</v>
      </c>
      <c r="O68" s="92">
        <f t="shared" ref="O68:O69" si="12">N68*1.07*1.09*1.05</f>
        <v>769.3011916592709</v>
      </c>
      <c r="P68" s="30">
        <f t="shared" ref="P68:P69" si="13">IF($P$10&gt;0,O68/$P$10/12,0)</f>
        <v>6.8852360260200389E-3</v>
      </c>
    </row>
    <row r="69" spans="2:16" ht="30" x14ac:dyDescent="0.25">
      <c r="B69" s="23">
        <v>30</v>
      </c>
      <c r="C69" s="24" t="s">
        <v>160</v>
      </c>
      <c r="D69" s="25" t="s">
        <v>161</v>
      </c>
      <c r="E69" s="25" t="s">
        <v>162</v>
      </c>
      <c r="F69" s="26">
        <v>3.5000000000000003E-2</v>
      </c>
      <c r="G69" s="27">
        <v>1</v>
      </c>
      <c r="H69" s="28">
        <f>F69 * G69 * 6337.556666</f>
        <v>221.81448331000004</v>
      </c>
      <c r="I69" s="28">
        <f>F69 * G69 * 24465.64344</f>
        <v>856.29752040000005</v>
      </c>
      <c r="J69" s="28">
        <f>F69 * G69 * 0</f>
        <v>0</v>
      </c>
      <c r="K69" s="28">
        <f>F69 * G69 * 6033.353946</f>
        <v>211.16738811000002</v>
      </c>
      <c r="L69" s="28">
        <f>F69 * G69 * 3867.838175</f>
        <v>135.37433612500001</v>
      </c>
      <c r="M69" s="28">
        <f>F69 * G69 * 1267.511333</f>
        <v>44.362896655</v>
      </c>
      <c r="N69" s="29">
        <f>SUM(H69:M69)</f>
        <v>1469.0166246000003</v>
      </c>
      <c r="O69" s="92">
        <f t="shared" si="12"/>
        <v>1798.9797937345299</v>
      </c>
      <c r="P69" s="30">
        <f t="shared" si="13"/>
        <v>1.6100846612738785E-2</v>
      </c>
    </row>
    <row r="70" spans="2:16" s="31" customFormat="1" ht="14.25" x14ac:dyDescent="0.2">
      <c r="B70" s="32"/>
      <c r="C70" s="33" t="s">
        <v>163</v>
      </c>
      <c r="D70" s="106" t="s">
        <v>164</v>
      </c>
      <c r="E70" s="106"/>
      <c r="F70" s="106"/>
      <c r="G70" s="106"/>
      <c r="H70" s="106"/>
      <c r="I70" s="106"/>
      <c r="J70" s="106"/>
      <c r="K70" s="106"/>
      <c r="L70" s="106"/>
      <c r="M70" s="106"/>
      <c r="N70" s="106"/>
      <c r="O70" s="106"/>
      <c r="P70" s="106"/>
    </row>
    <row r="71" spans="2:16" ht="45" x14ac:dyDescent="0.25">
      <c r="B71" s="23">
        <v>31</v>
      </c>
      <c r="C71" s="24" t="s">
        <v>165</v>
      </c>
      <c r="D71" s="25" t="s">
        <v>166</v>
      </c>
      <c r="E71" s="25" t="s">
        <v>167</v>
      </c>
      <c r="F71" s="26">
        <v>0.55079999999999996</v>
      </c>
      <c r="G71" s="27">
        <v>1</v>
      </c>
      <c r="H71" s="28">
        <f>F71 * G71 * 947.42154</f>
        <v>521.83978423199994</v>
      </c>
      <c r="I71" s="28">
        <f>F71 * G71 * 596.811623</f>
        <v>328.72384194839998</v>
      </c>
      <c r="J71" s="28">
        <f>F71 * G71 * 0</f>
        <v>0</v>
      </c>
      <c r="K71" s="28">
        <f>F71 * G71 * 901.945306</f>
        <v>496.79147454479994</v>
      </c>
      <c r="L71" s="28">
        <f>F71 * G71 * 256.848739</f>
        <v>141.4722854412</v>
      </c>
      <c r="M71" s="28">
        <f>F71 * G71 * 189.484308</f>
        <v>104.36795684639999</v>
      </c>
      <c r="N71" s="29">
        <f>SUM(H71:M71)</f>
        <v>1593.1953430127999</v>
      </c>
      <c r="O71" s="92">
        <f>N71*1.07*1.09*1.05</f>
        <v>1951.05091498362</v>
      </c>
      <c r="P71" s="30">
        <f>IF($P$10&gt;0,O71/$P$10/12,0)</f>
        <v>1.7461881242469661E-2</v>
      </c>
    </row>
    <row r="72" spans="2:16" s="31" customFormat="1" ht="14.25" x14ac:dyDescent="0.2">
      <c r="B72" s="32"/>
      <c r="C72" s="33" t="s">
        <v>168</v>
      </c>
      <c r="D72" s="106" t="s">
        <v>169</v>
      </c>
      <c r="E72" s="106"/>
      <c r="F72" s="106"/>
      <c r="G72" s="106"/>
      <c r="H72" s="106"/>
      <c r="I72" s="106"/>
      <c r="J72" s="106"/>
      <c r="K72" s="106"/>
      <c r="L72" s="106"/>
      <c r="M72" s="106"/>
      <c r="N72" s="106"/>
      <c r="O72" s="106"/>
      <c r="P72" s="106"/>
    </row>
    <row r="73" spans="2:16" ht="60" x14ac:dyDescent="0.25">
      <c r="B73" s="23">
        <v>32</v>
      </c>
      <c r="C73" s="24" t="s">
        <v>170</v>
      </c>
      <c r="D73" s="25" t="s">
        <v>171</v>
      </c>
      <c r="E73" s="25" t="s">
        <v>162</v>
      </c>
      <c r="F73" s="26">
        <v>4.3700000000000003E-2</v>
      </c>
      <c r="G73" s="27">
        <v>1</v>
      </c>
      <c r="H73" s="28">
        <f>F73 * G73 * 47980.936125</f>
        <v>2096.7669086625001</v>
      </c>
      <c r="I73" s="28">
        <f>F73 * G73 * 7247.529432</f>
        <v>316.71703617840001</v>
      </c>
      <c r="J73" s="28">
        <f>F73 * G73 * 209.94316</f>
        <v>9.1745160920000011</v>
      </c>
      <c r="K73" s="28">
        <f>F73 * G73 * 45853.241054</f>
        <v>2003.7866340598</v>
      </c>
      <c r="L73" s="28">
        <f>F73 * G73 * 10635.623226</f>
        <v>464.77673497620003</v>
      </c>
      <c r="M73" s="28">
        <f>F73 * G73 * 9633.033835</f>
        <v>420.96357858950006</v>
      </c>
      <c r="N73" s="29">
        <f>SUM(H73:M73)</f>
        <v>5312.1854085584</v>
      </c>
      <c r="O73" s="92">
        <f>N73*1.07*1.09*1.05</f>
        <v>6505.3819341017461</v>
      </c>
      <c r="P73" s="30">
        <f>IF($P$10&gt;0,O73/$P$10/12,0)</f>
        <v>5.8223086797889116E-2</v>
      </c>
    </row>
    <row r="74" spans="2:16" s="20" customFormat="1" ht="13.9" customHeight="1" x14ac:dyDescent="0.2">
      <c r="B74" s="21"/>
      <c r="C74" s="22" t="s">
        <v>172</v>
      </c>
      <c r="D74" s="105" t="s">
        <v>173</v>
      </c>
      <c r="E74" s="105"/>
      <c r="F74" s="105"/>
      <c r="G74" s="105"/>
      <c r="H74" s="105"/>
      <c r="I74" s="105"/>
      <c r="J74" s="105"/>
      <c r="K74" s="105"/>
      <c r="L74" s="105"/>
      <c r="M74" s="105"/>
      <c r="N74" s="105"/>
      <c r="O74" s="105"/>
      <c r="P74" s="105"/>
    </row>
    <row r="75" spans="2:16" s="31" customFormat="1" ht="14.25" x14ac:dyDescent="0.2">
      <c r="B75" s="32"/>
      <c r="C75" s="33" t="s">
        <v>174</v>
      </c>
      <c r="D75" s="106" t="s">
        <v>175</v>
      </c>
      <c r="E75" s="106"/>
      <c r="F75" s="106"/>
      <c r="G75" s="106"/>
      <c r="H75" s="106"/>
      <c r="I75" s="106"/>
      <c r="J75" s="106"/>
      <c r="K75" s="106"/>
      <c r="L75" s="106"/>
      <c r="M75" s="106"/>
      <c r="N75" s="106"/>
      <c r="O75" s="106"/>
      <c r="P75" s="106"/>
    </row>
    <row r="76" spans="2:16" s="31" customFormat="1" ht="14.25" x14ac:dyDescent="0.2">
      <c r="B76" s="32"/>
      <c r="C76" s="33" t="s">
        <v>176</v>
      </c>
      <c r="D76" s="107" t="s">
        <v>177</v>
      </c>
      <c r="E76" s="107"/>
      <c r="F76" s="107"/>
      <c r="G76" s="107"/>
      <c r="H76" s="107"/>
      <c r="I76" s="107"/>
      <c r="J76" s="107"/>
      <c r="K76" s="107"/>
      <c r="L76" s="107"/>
      <c r="M76" s="107"/>
      <c r="N76" s="107"/>
      <c r="O76" s="107"/>
      <c r="P76" s="107"/>
    </row>
    <row r="77" spans="2:16" x14ac:dyDescent="0.25">
      <c r="B77" s="23">
        <v>33</v>
      </c>
      <c r="C77" s="24" t="s">
        <v>178</v>
      </c>
      <c r="D77" s="25" t="s">
        <v>179</v>
      </c>
      <c r="E77" s="25" t="s">
        <v>180</v>
      </c>
      <c r="F77" s="26">
        <v>6.1199999999999997E-2</v>
      </c>
      <c r="G77" s="27">
        <v>1</v>
      </c>
      <c r="H77" s="28">
        <f>F77 * G77 * 4307.26518</f>
        <v>263.60462901599999</v>
      </c>
      <c r="I77" s="28">
        <f>F77 * G77 * 40964.189954</f>
        <v>2507.0084251847998</v>
      </c>
      <c r="J77" s="28">
        <f>F77 * G77 * 118.48095</f>
        <v>7.2510341399999998</v>
      </c>
      <c r="K77" s="28">
        <f>F77 * G77 * 4139.782838</f>
        <v>253.3547096856</v>
      </c>
      <c r="L77" s="28">
        <f>F77 * G77 * 5200.62048699999</f>
        <v>318.27797380439938</v>
      </c>
      <c r="M77" s="28">
        <f>F77 * G77 * 869.702277</f>
        <v>53.225779352399996</v>
      </c>
      <c r="N77" s="29">
        <f>SUM(H77:M77)</f>
        <v>3402.7225511831989</v>
      </c>
      <c r="O77" s="92">
        <f>N77*1.07*1.09*1.05</f>
        <v>4167.0250770172133</v>
      </c>
      <c r="P77" s="30">
        <f>IF($P$10&gt;0,O77/$P$10/12,0)</f>
        <v>3.7294822226552941E-2</v>
      </c>
    </row>
    <row r="78" spans="2:16" s="31" customFormat="1" ht="14.25" x14ac:dyDescent="0.2">
      <c r="B78" s="32"/>
      <c r="C78" s="33" t="s">
        <v>181</v>
      </c>
      <c r="D78" s="106" t="s">
        <v>182</v>
      </c>
      <c r="E78" s="106"/>
      <c r="F78" s="106"/>
      <c r="G78" s="106"/>
      <c r="H78" s="106"/>
      <c r="I78" s="106"/>
      <c r="J78" s="106"/>
      <c r="K78" s="106"/>
      <c r="L78" s="106"/>
      <c r="M78" s="106"/>
      <c r="N78" s="106"/>
      <c r="O78" s="106"/>
      <c r="P78" s="106"/>
    </row>
    <row r="79" spans="2:16" s="31" customFormat="1" ht="14.25" x14ac:dyDescent="0.2">
      <c r="B79" s="32"/>
      <c r="C79" s="33" t="s">
        <v>183</v>
      </c>
      <c r="D79" s="107" t="s">
        <v>184</v>
      </c>
      <c r="E79" s="107"/>
      <c r="F79" s="107"/>
      <c r="G79" s="107"/>
      <c r="H79" s="107"/>
      <c r="I79" s="107"/>
      <c r="J79" s="107"/>
      <c r="K79" s="107"/>
      <c r="L79" s="107"/>
      <c r="M79" s="107"/>
      <c r="N79" s="107"/>
      <c r="O79" s="107"/>
      <c r="P79" s="107"/>
    </row>
    <row r="80" spans="2:16" ht="30" x14ac:dyDescent="0.25">
      <c r="B80" s="23">
        <v>34</v>
      </c>
      <c r="C80" s="24" t="s">
        <v>185</v>
      </c>
      <c r="D80" s="25" t="s">
        <v>186</v>
      </c>
      <c r="E80" s="25" t="s">
        <v>60</v>
      </c>
      <c r="F80" s="26">
        <v>6.1199999999999997E-2</v>
      </c>
      <c r="G80" s="27">
        <v>1</v>
      </c>
      <c r="H80" s="28">
        <f>F80 * G80 * 8294.617152</f>
        <v>507.63056970240001</v>
      </c>
      <c r="I80" s="28">
        <f>F80 * G80 * 79662.689878</f>
        <v>4875.3566205336001</v>
      </c>
      <c r="J80" s="28">
        <f>F80 * G80 * 226.60841</f>
        <v>13.868434691999999</v>
      </c>
      <c r="K80" s="28">
        <f>F80 * G80 * 7967.155026</f>
        <v>487.58988759120001</v>
      </c>
      <c r="L80" s="28">
        <f>F80 * G80 * 10095.862399</f>
        <v>617.86677881879996</v>
      </c>
      <c r="M80" s="28">
        <f>F80 * G80 * 1673.772064</f>
        <v>102.4348503168</v>
      </c>
      <c r="N80" s="29">
        <f>SUM(H80:M80)</f>
        <v>6604.7471416547996</v>
      </c>
      <c r="O80" s="92">
        <f t="shared" ref="O80:O81" si="14">N80*1.07*1.09*1.05</f>
        <v>8088.2724208775944</v>
      </c>
      <c r="P80" s="30">
        <f t="shared" ref="P80:P81" si="15">IF($P$10&gt;0,O80/$P$10/12,0)</f>
        <v>7.2389936820942927E-2</v>
      </c>
    </row>
    <row r="81" spans="2:16" x14ac:dyDescent="0.25">
      <c r="B81" s="23">
        <v>35</v>
      </c>
      <c r="C81" s="24" t="s">
        <v>187</v>
      </c>
      <c r="D81" s="25" t="s">
        <v>188</v>
      </c>
      <c r="E81" s="25" t="s">
        <v>189</v>
      </c>
      <c r="F81" s="26">
        <v>6.1199999999999997E-2</v>
      </c>
      <c r="G81" s="27">
        <v>1</v>
      </c>
      <c r="H81" s="28">
        <f>F81 * G81 * 23223.66395</f>
        <v>1421.2882337399999</v>
      </c>
      <c r="I81" s="28">
        <f>F81 * G81 * 32635.008571</f>
        <v>1997.2625245451998</v>
      </c>
      <c r="J81" s="28">
        <f>F81 * G81 * 0</f>
        <v>0</v>
      </c>
      <c r="K81" s="28">
        <f>F81 * G81 * 22108.928081</f>
        <v>1353.0663985571998</v>
      </c>
      <c r="L81" s="28">
        <f>F81 * G81 * 8186.59806299999</f>
        <v>501.01980145559941</v>
      </c>
      <c r="M81" s="28">
        <f>F81 * G81 * 4644.73279</f>
        <v>284.25764674800001</v>
      </c>
      <c r="N81" s="29">
        <f>SUM(H81:M81)</f>
        <v>5556.894605045999</v>
      </c>
      <c r="O81" s="92">
        <f t="shared" si="14"/>
        <v>6805.0564867584062</v>
      </c>
      <c r="P81" s="30">
        <f t="shared" si="15"/>
        <v>6.0905170289249327E-2</v>
      </c>
    </row>
    <row r="82" spans="2:16" s="31" customFormat="1" ht="14.25" x14ac:dyDescent="0.2">
      <c r="B82" s="32"/>
      <c r="C82" s="33" t="s">
        <v>190</v>
      </c>
      <c r="D82" s="106" t="s">
        <v>191</v>
      </c>
      <c r="E82" s="106"/>
      <c r="F82" s="106"/>
      <c r="G82" s="106"/>
      <c r="H82" s="106"/>
      <c r="I82" s="106"/>
      <c r="J82" s="106"/>
      <c r="K82" s="106"/>
      <c r="L82" s="106"/>
      <c r="M82" s="106"/>
      <c r="N82" s="106"/>
      <c r="O82" s="106"/>
      <c r="P82" s="106"/>
    </row>
    <row r="83" spans="2:16" x14ac:dyDescent="0.25">
      <c r="B83" s="23">
        <v>36</v>
      </c>
      <c r="C83" s="24" t="s">
        <v>192</v>
      </c>
      <c r="D83" s="25" t="s">
        <v>193</v>
      </c>
      <c r="E83" s="25" t="s">
        <v>194</v>
      </c>
      <c r="F83" s="26">
        <v>0.7</v>
      </c>
      <c r="G83" s="27">
        <v>1</v>
      </c>
      <c r="H83" s="28">
        <f>F83 * G83 * 870.49415</f>
        <v>609.3459049999999</v>
      </c>
      <c r="I83" s="28">
        <f>F83 * G83 * 2886.96601</f>
        <v>2020.876207</v>
      </c>
      <c r="J83" s="28">
        <f>F83 * G83 * 0</f>
        <v>0</v>
      </c>
      <c r="K83" s="28">
        <f>F83 * G83 * 828.710431</f>
        <v>580.09730169999989</v>
      </c>
      <c r="L83" s="28">
        <f>F83 * G83 * 481.547912</f>
        <v>337.08353839999995</v>
      </c>
      <c r="M83" s="28">
        <f>F83 * G83 * 174.09883</f>
        <v>121.86918099999998</v>
      </c>
      <c r="N83" s="29">
        <f>SUM(H83:M83)</f>
        <v>3669.2721331000002</v>
      </c>
      <c r="O83" s="92">
        <f t="shared" ref="O83:O85" si="16">N83*1.07*1.09*1.05</f>
        <v>4493.4456932762578</v>
      </c>
      <c r="P83" s="30">
        <f t="shared" ref="P83:P85" si="17">IF($P$10&gt;0,O83/$P$10/12,0)</f>
        <v>4.0216282652026793E-2</v>
      </c>
    </row>
    <row r="84" spans="2:16" ht="45" x14ac:dyDescent="0.25">
      <c r="B84" s="23">
        <v>37</v>
      </c>
      <c r="C84" s="24" t="s">
        <v>195</v>
      </c>
      <c r="D84" s="25" t="s">
        <v>196</v>
      </c>
      <c r="E84" s="25" t="s">
        <v>67</v>
      </c>
      <c r="F84" s="26">
        <v>4.3700000000000003E-2</v>
      </c>
      <c r="G84" s="27">
        <v>1</v>
      </c>
      <c r="H84" s="28">
        <f>F84 * G84 * 30827.8725</f>
        <v>1347.1780282500001</v>
      </c>
      <c r="I84" s="28">
        <f>F84 * G84 * 10627.539883</f>
        <v>464.4234928871</v>
      </c>
      <c r="J84" s="28">
        <f>F84 * G84 * 0</f>
        <v>0</v>
      </c>
      <c r="K84" s="28">
        <f>F84 * G84 * 29348.13462</f>
        <v>1282.5134828940002</v>
      </c>
      <c r="L84" s="28">
        <f>F84 * G84 * 7434.372435</f>
        <v>324.88207540950003</v>
      </c>
      <c r="M84" s="28">
        <f>F84 * G84 * 6165.5745</f>
        <v>269.43560565000001</v>
      </c>
      <c r="N84" s="29">
        <f>SUM(H84:M84)</f>
        <v>3688.4326850906004</v>
      </c>
      <c r="O84" s="92">
        <f t="shared" si="16"/>
        <v>4516.9099926522267</v>
      </c>
      <c r="P84" s="30">
        <f t="shared" si="17"/>
        <v>4.0426287837434453E-2</v>
      </c>
    </row>
    <row r="85" spans="2:16" ht="45" x14ac:dyDescent="0.25">
      <c r="B85" s="23">
        <v>38</v>
      </c>
      <c r="C85" s="24" t="s">
        <v>197</v>
      </c>
      <c r="D85" s="25" t="s">
        <v>198</v>
      </c>
      <c r="E85" s="25" t="s">
        <v>67</v>
      </c>
      <c r="F85" s="26">
        <v>4.3700000000000003E-2</v>
      </c>
      <c r="G85" s="27">
        <v>1</v>
      </c>
      <c r="H85" s="28">
        <f>F85 * G85 * 7177.70196</f>
        <v>313.66557565200003</v>
      </c>
      <c r="I85" s="28">
        <f>F85 * G85 * 2957.723572</f>
        <v>129.25252009639999</v>
      </c>
      <c r="J85" s="28">
        <f>F85 * G85 * 0</f>
        <v>0</v>
      </c>
      <c r="K85" s="28">
        <f>F85 * G85 * 6833.172266</f>
        <v>298.60962802419999</v>
      </c>
      <c r="L85" s="28">
        <f>F85 * G85 * 1781.702769</f>
        <v>77.860411005300008</v>
      </c>
      <c r="M85" s="28">
        <f>F85 * G85 * 1435.540392</f>
        <v>62.733115130400009</v>
      </c>
      <c r="N85" s="29">
        <f>SUM(H85:M85)</f>
        <v>882.1212499083</v>
      </c>
      <c r="O85" s="92">
        <f t="shared" si="16"/>
        <v>1080.2589144564529</v>
      </c>
      <c r="P85" s="30">
        <f t="shared" si="17"/>
        <v>9.668303748760005E-3</v>
      </c>
    </row>
    <row r="86" spans="2:16" s="31" customFormat="1" ht="14.25" x14ac:dyDescent="0.2">
      <c r="B86" s="32"/>
      <c r="C86" s="33" t="s">
        <v>199</v>
      </c>
      <c r="D86" s="106" t="s">
        <v>200</v>
      </c>
      <c r="E86" s="106"/>
      <c r="F86" s="106"/>
      <c r="G86" s="106"/>
      <c r="H86" s="106"/>
      <c r="I86" s="106"/>
      <c r="J86" s="106"/>
      <c r="K86" s="106"/>
      <c r="L86" s="106"/>
      <c r="M86" s="106"/>
      <c r="N86" s="106"/>
      <c r="O86" s="106"/>
      <c r="P86" s="106"/>
    </row>
    <row r="87" spans="2:16" x14ac:dyDescent="0.25">
      <c r="B87" s="23">
        <v>39</v>
      </c>
      <c r="C87" s="24" t="s">
        <v>201</v>
      </c>
      <c r="D87" s="25" t="s">
        <v>202</v>
      </c>
      <c r="E87" s="25" t="s">
        <v>203</v>
      </c>
      <c r="F87" s="26">
        <v>5.2499999999999998E-2</v>
      </c>
      <c r="G87" s="27">
        <v>1</v>
      </c>
      <c r="H87" s="28">
        <f>F87 * G87 * 28955.434086</f>
        <v>1520.1602895149999</v>
      </c>
      <c r="I87" s="28">
        <f>F87 * G87 * 6866.87143</f>
        <v>360.51075007499998</v>
      </c>
      <c r="J87" s="28">
        <f>F87 * G87 * 6.2216</f>
        <v>0.32663399999999998</v>
      </c>
      <c r="K87" s="28">
        <f>F87 * G87 * 27565.57325</f>
        <v>1447.192595625</v>
      </c>
      <c r="L87" s="28">
        <f>F87 * G87 * 6656.380539</f>
        <v>349.45997829749996</v>
      </c>
      <c r="M87" s="28">
        <f>F87 * G87 * 5791.086817</f>
        <v>304.03205789250001</v>
      </c>
      <c r="N87" s="29">
        <f>SUM(H87:M87)</f>
        <v>3981.6823054050001</v>
      </c>
      <c r="O87" s="92">
        <f>N87*1.07*1.09*1.05</f>
        <v>4876.0278764335453</v>
      </c>
      <c r="P87" s="30">
        <f>IF($P$10&gt;0,O87/$P$10/12,0)</f>
        <v>4.3640388397536478E-2</v>
      </c>
    </row>
    <row r="88" spans="2:16" s="31" customFormat="1" ht="14.25" x14ac:dyDescent="0.2">
      <c r="B88" s="32"/>
      <c r="C88" s="33" t="s">
        <v>204</v>
      </c>
      <c r="D88" s="106" t="s">
        <v>205</v>
      </c>
      <c r="E88" s="106"/>
      <c r="F88" s="106"/>
      <c r="G88" s="106"/>
      <c r="H88" s="106"/>
      <c r="I88" s="106"/>
      <c r="J88" s="106"/>
      <c r="K88" s="106"/>
      <c r="L88" s="106"/>
      <c r="M88" s="106"/>
      <c r="N88" s="106"/>
      <c r="O88" s="106"/>
      <c r="P88" s="106"/>
    </row>
    <row r="89" spans="2:16" ht="30" x14ac:dyDescent="0.25">
      <c r="B89" s="23">
        <v>40</v>
      </c>
      <c r="C89" s="24" t="s">
        <v>206</v>
      </c>
      <c r="D89" s="25" t="s">
        <v>207</v>
      </c>
      <c r="E89" s="25" t="s">
        <v>107</v>
      </c>
      <c r="F89" s="26">
        <v>4.3700000000000003E-2</v>
      </c>
      <c r="G89" s="27">
        <v>1</v>
      </c>
      <c r="H89" s="28">
        <f>F89 * G89 * 3451.114457</f>
        <v>150.81370177090002</v>
      </c>
      <c r="I89" s="28">
        <f>F89 * G89 * 1892.30811</f>
        <v>82.693864407000007</v>
      </c>
      <c r="J89" s="28">
        <f>F89 * G89 * 0.5656</f>
        <v>2.4716720000000001E-2</v>
      </c>
      <c r="K89" s="28">
        <f>F89 * G89 * 3285.460963</f>
        <v>143.5746440831</v>
      </c>
      <c r="L89" s="28">
        <f>F89 * G89 * 906.092159</f>
        <v>39.596227348300005</v>
      </c>
      <c r="M89" s="28">
        <f>F89 * G89 * 690.222891</f>
        <v>30.162740336700001</v>
      </c>
      <c r="N89" s="29">
        <f>SUM(H89:M89)</f>
        <v>446.86589466599997</v>
      </c>
      <c r="O89" s="92">
        <f t="shared" ref="O89:O90" si="18">N89*1.07*1.09*1.05</f>
        <v>547.2386775964037</v>
      </c>
      <c r="P89" s="30">
        <f t="shared" ref="P89:P90" si="19">IF($P$10&gt;0,O89/$P$10/12,0)</f>
        <v>4.8977793075967828E-3</v>
      </c>
    </row>
    <row r="90" spans="2:16" ht="45" x14ac:dyDescent="0.25">
      <c r="B90" s="23">
        <v>41</v>
      </c>
      <c r="C90" s="24" t="s">
        <v>208</v>
      </c>
      <c r="D90" s="25" t="s">
        <v>209</v>
      </c>
      <c r="E90" s="25" t="s">
        <v>67</v>
      </c>
      <c r="F90" s="26">
        <v>2.6200000000000001E-2</v>
      </c>
      <c r="G90" s="27">
        <v>1</v>
      </c>
      <c r="H90" s="28">
        <f>F90 * G90 * 43159.0215</f>
        <v>1130.7663633000002</v>
      </c>
      <c r="I90" s="28">
        <f>F90 * G90 * 59681.1623039999</f>
        <v>1563.6464523647976</v>
      </c>
      <c r="J90" s="28">
        <f>F90 * G90 * 0</f>
        <v>0</v>
      </c>
      <c r="K90" s="28">
        <f>F90 * G90 * 41087.388468</f>
        <v>1076.4895778616001</v>
      </c>
      <c r="L90" s="28">
        <f>F90 * G90 * 15112.395088</f>
        <v>395.94475130559999</v>
      </c>
      <c r="M90" s="28">
        <f>F90 * G90 * 8631.8043</f>
        <v>226.15327266</v>
      </c>
      <c r="N90" s="29">
        <f>SUM(H90:M90)</f>
        <v>4393.0004174919977</v>
      </c>
      <c r="O90" s="92">
        <f t="shared" si="18"/>
        <v>5379.7342062669632</v>
      </c>
      <c r="P90" s="30">
        <f t="shared" si="19"/>
        <v>4.8148553738114087E-2</v>
      </c>
    </row>
    <row r="91" spans="2:16" s="31" customFormat="1" ht="14.25" x14ac:dyDescent="0.2">
      <c r="B91" s="32"/>
      <c r="C91" s="33" t="s">
        <v>210</v>
      </c>
      <c r="D91" s="106" t="s">
        <v>211</v>
      </c>
      <c r="E91" s="106"/>
      <c r="F91" s="106"/>
      <c r="G91" s="106"/>
      <c r="H91" s="106"/>
      <c r="I91" s="106"/>
      <c r="J91" s="106"/>
      <c r="K91" s="106"/>
      <c r="L91" s="106"/>
      <c r="M91" s="106"/>
      <c r="N91" s="106"/>
      <c r="O91" s="106"/>
      <c r="P91" s="106"/>
    </row>
    <row r="92" spans="2:16" ht="45" x14ac:dyDescent="0.25">
      <c r="B92" s="23">
        <v>42</v>
      </c>
      <c r="C92" s="24" t="s">
        <v>212</v>
      </c>
      <c r="D92" s="25" t="s">
        <v>213</v>
      </c>
      <c r="E92" s="25" t="s">
        <v>214</v>
      </c>
      <c r="F92" s="26">
        <v>7.8700000000000006E-2</v>
      </c>
      <c r="G92" s="27">
        <v>1</v>
      </c>
      <c r="H92" s="28">
        <f>F92 * G92 * 15802.9416</f>
        <v>1243.6915039200001</v>
      </c>
      <c r="I92" s="28">
        <f>F92 * G92 * 47637.450361</f>
        <v>3749.0673434107007</v>
      </c>
      <c r="J92" s="28">
        <f>F92 * G92 * 0</f>
        <v>0</v>
      </c>
      <c r="K92" s="28">
        <f>F92 * G92 * 15044.400403</f>
        <v>1183.9943117161001</v>
      </c>
      <c r="L92" s="28">
        <f>F92 * G92 * 8240.903198</f>
        <v>648.55908168260009</v>
      </c>
      <c r="M92" s="28">
        <f>F92 * G92 * 3160.58832</f>
        <v>248.73830078400002</v>
      </c>
      <c r="N92" s="29">
        <f>SUM(H92:M92)</f>
        <v>7074.0505415134003</v>
      </c>
      <c r="O92" s="92">
        <f t="shared" ref="O92:O93" si="20">N92*1.07*1.09*1.05</f>
        <v>8662.9884038954333</v>
      </c>
      <c r="P92" s="30">
        <f t="shared" ref="P92:P93" si="21">IF($P$10&gt;0,O92/$P$10/12,0)</f>
        <v>7.7533637667771396E-2</v>
      </c>
    </row>
    <row r="93" spans="2:16" ht="30" x14ac:dyDescent="0.25">
      <c r="B93" s="23">
        <v>43</v>
      </c>
      <c r="C93" s="24" t="s">
        <v>215</v>
      </c>
      <c r="D93" s="25" t="s">
        <v>216</v>
      </c>
      <c r="E93" s="25" t="s">
        <v>217</v>
      </c>
      <c r="F93" s="26">
        <v>8.7400000000000005E-2</v>
      </c>
      <c r="G93" s="27">
        <v>0.2</v>
      </c>
      <c r="H93" s="28">
        <f>F93 * G93 * 22740.8184</f>
        <v>397.50950563200007</v>
      </c>
      <c r="I93" s="28">
        <f>F93 * G93 * 53191.079831</f>
        <v>929.78007544588013</v>
      </c>
      <c r="J93" s="28">
        <f>F93 * G93 * 0</f>
        <v>0</v>
      </c>
      <c r="K93" s="28">
        <f>F93 * G93 * 21649.259117</f>
        <v>378.4290493651601</v>
      </c>
      <c r="L93" s="28">
        <f>F93 * G93 * 10246.021522</f>
        <v>179.10045620456</v>
      </c>
      <c r="M93" s="28">
        <f>F93 * G93 * 4548.16368</f>
        <v>79.5019011264</v>
      </c>
      <c r="N93" s="29">
        <f>SUM(H93:M93)</f>
        <v>1964.3209877740005</v>
      </c>
      <c r="O93" s="92">
        <f t="shared" si="20"/>
        <v>2405.5369464428577</v>
      </c>
      <c r="P93" s="30">
        <f t="shared" si="21"/>
        <v>2.1529525529327836E-2</v>
      </c>
    </row>
    <row r="94" spans="2:16" s="31" customFormat="1" ht="14.25" x14ac:dyDescent="0.2">
      <c r="B94" s="32"/>
      <c r="C94" s="33" t="s">
        <v>218</v>
      </c>
      <c r="D94" s="106" t="s">
        <v>219</v>
      </c>
      <c r="E94" s="106"/>
      <c r="F94" s="106"/>
      <c r="G94" s="106"/>
      <c r="H94" s="106"/>
      <c r="I94" s="106"/>
      <c r="J94" s="106"/>
      <c r="K94" s="106"/>
      <c r="L94" s="106"/>
      <c r="M94" s="106"/>
      <c r="N94" s="106"/>
      <c r="O94" s="106"/>
      <c r="P94" s="106"/>
    </row>
    <row r="95" spans="2:16" ht="30" x14ac:dyDescent="0.25">
      <c r="B95" s="23">
        <v>44</v>
      </c>
      <c r="C95" s="24" t="s">
        <v>220</v>
      </c>
      <c r="D95" s="25" t="s">
        <v>221</v>
      </c>
      <c r="E95" s="25" t="s">
        <v>214</v>
      </c>
      <c r="F95" s="26">
        <v>2.6200000000000001E-2</v>
      </c>
      <c r="G95" s="27">
        <v>1</v>
      </c>
      <c r="H95" s="28">
        <f>F95 * G95 * 12719.4408</f>
        <v>333.24934896000002</v>
      </c>
      <c r="I95" s="28">
        <f>F95 * G95 * 44825.887243</f>
        <v>1174.4382457665999</v>
      </c>
      <c r="J95" s="28">
        <f>F95 * G95 * 0</f>
        <v>0</v>
      </c>
      <c r="K95" s="28">
        <f>F95 * G95 * 12108.907642</f>
        <v>317.2533802204</v>
      </c>
      <c r="L95" s="28">
        <f>F95 * G95 * 7313.694746</f>
        <v>191.61880234520001</v>
      </c>
      <c r="M95" s="28">
        <f>F95 * G95 * 2543.88816</f>
        <v>66.649869792000004</v>
      </c>
      <c r="N95" s="29">
        <f>SUM(H95:M95)</f>
        <v>2083.2096470841998</v>
      </c>
      <c r="O95" s="92">
        <f t="shared" ref="O95:O96" si="22">N95*1.07*1.09*1.05</f>
        <v>2551.1297819640176</v>
      </c>
      <c r="P95" s="30">
        <f t="shared" ref="P95:P96" si="23">IF($P$10&gt;0,O95/$P$10/12,0)</f>
        <v>2.2832579582966542E-2</v>
      </c>
    </row>
    <row r="96" spans="2:16" ht="30" x14ac:dyDescent="0.25">
      <c r="B96" s="23">
        <v>45</v>
      </c>
      <c r="C96" s="24" t="s">
        <v>222</v>
      </c>
      <c r="D96" s="25" t="s">
        <v>223</v>
      </c>
      <c r="E96" s="25" t="s">
        <v>224</v>
      </c>
      <c r="F96" s="26">
        <v>2.6200000000000001E-2</v>
      </c>
      <c r="G96" s="27">
        <v>1</v>
      </c>
      <c r="H96" s="28">
        <f>F96 * G96 * 41819.9796</f>
        <v>1095.68346552</v>
      </c>
      <c r="I96" s="28">
        <f>F96 * G96 * 33790.864713</f>
        <v>885.32065548060007</v>
      </c>
      <c r="J96" s="28">
        <f>F96 * G96 * 0</f>
        <v>0</v>
      </c>
      <c r="K96" s="28">
        <f>F96 * G96 * 39812.620579</f>
        <v>1043.0906591698001</v>
      </c>
      <c r="L96" s="28">
        <f>F96 * G96 * 12119.463813</f>
        <v>317.5299519006</v>
      </c>
      <c r="M96" s="28">
        <f>F96 * G96 * 8363.99592</f>
        <v>219.13669310399999</v>
      </c>
      <c r="N96" s="29">
        <f>SUM(H96:M96)</f>
        <v>3560.7614251750006</v>
      </c>
      <c r="O96" s="92">
        <f t="shared" si="22"/>
        <v>4360.5618526906846</v>
      </c>
      <c r="P96" s="30">
        <f t="shared" si="23"/>
        <v>3.9026973943818107E-2</v>
      </c>
    </row>
    <row r="97" spans="2:16" s="31" customFormat="1" ht="14.25" x14ac:dyDescent="0.2">
      <c r="B97" s="32"/>
      <c r="C97" s="33" t="s">
        <v>225</v>
      </c>
      <c r="D97" s="106" t="s">
        <v>226</v>
      </c>
      <c r="E97" s="106"/>
      <c r="F97" s="106"/>
      <c r="G97" s="106"/>
      <c r="H97" s="106"/>
      <c r="I97" s="106"/>
      <c r="J97" s="106"/>
      <c r="K97" s="106"/>
      <c r="L97" s="106"/>
      <c r="M97" s="106"/>
      <c r="N97" s="106"/>
      <c r="O97" s="106"/>
      <c r="P97" s="106"/>
    </row>
    <row r="98" spans="2:16" ht="30" x14ac:dyDescent="0.25">
      <c r="B98" s="23">
        <v>46</v>
      </c>
      <c r="C98" s="24" t="s">
        <v>227</v>
      </c>
      <c r="D98" s="25" t="s">
        <v>228</v>
      </c>
      <c r="E98" s="25" t="s">
        <v>107</v>
      </c>
      <c r="F98" s="26">
        <v>0.26229999999999998</v>
      </c>
      <c r="G98" s="27">
        <v>0.2</v>
      </c>
      <c r="H98" s="28">
        <f>F98 * G98 * 10214.0964</f>
        <v>535.83149714399997</v>
      </c>
      <c r="I98" s="28">
        <f>F98 * G98 * 4834.205154</f>
        <v>253.60240237884</v>
      </c>
      <c r="J98" s="28">
        <f>F98 * G98 * 0</f>
        <v>0</v>
      </c>
      <c r="K98" s="28">
        <f>F98 * G98 * 9723.819773</f>
        <v>510.11158529157996</v>
      </c>
      <c r="L98" s="28">
        <f>F98 * G98 * 2601.07274</f>
        <v>136.4522759404</v>
      </c>
      <c r="M98" s="28">
        <f>F98 * G98 * 2042.81928</f>
        <v>107.1662994288</v>
      </c>
      <c r="N98" s="29">
        <f>SUM(H98:M98)</f>
        <v>1543.1640601836198</v>
      </c>
      <c r="O98" s="92">
        <f t="shared" ref="O98:O100" si="24">N98*1.07*1.09*1.05</f>
        <v>1889.7818555617639</v>
      </c>
      <c r="P98" s="30">
        <f t="shared" ref="P98:P100" si="25">IF($P$10&gt;0,O98/$P$10/12,0)</f>
        <v>1.6913523928344287E-2</v>
      </c>
    </row>
    <row r="99" spans="2:16" x14ac:dyDescent="0.25">
      <c r="B99" s="23">
        <v>47</v>
      </c>
      <c r="C99" s="24" t="s">
        <v>229</v>
      </c>
      <c r="D99" s="25" t="s">
        <v>230</v>
      </c>
      <c r="E99" s="25" t="s">
        <v>231</v>
      </c>
      <c r="F99" s="26">
        <v>0.3</v>
      </c>
      <c r="G99" s="27">
        <v>0.2</v>
      </c>
      <c r="H99" s="28">
        <f>F99 * G99 * 10122.025</f>
        <v>607.3214999999999</v>
      </c>
      <c r="I99" s="28">
        <f>F99 * G99 * 8942.2848</f>
        <v>536.53708799999993</v>
      </c>
      <c r="J99" s="28">
        <f>F99 * G99 * 0</f>
        <v>0</v>
      </c>
      <c r="K99" s="28">
        <f>F99 * G99 * 9636.1678</f>
        <v>578.1700679999999</v>
      </c>
      <c r="L99" s="28">
        <f>F99 * G99 * 3013.550148</f>
        <v>180.81300887999998</v>
      </c>
      <c r="M99" s="28">
        <f>F99 * G99 * 2024.405</f>
        <v>121.46429999999999</v>
      </c>
      <c r="N99" s="29">
        <f>SUM(H99:M99)</f>
        <v>2024.3059648799999</v>
      </c>
      <c r="O99" s="92">
        <f t="shared" si="24"/>
        <v>2478.995449181522</v>
      </c>
      <c r="P99" s="30">
        <f t="shared" si="25"/>
        <v>2.2186978208405133E-2</v>
      </c>
    </row>
    <row r="100" spans="2:16" x14ac:dyDescent="0.25">
      <c r="B100" s="23">
        <v>48</v>
      </c>
      <c r="C100" s="24" t="s">
        <v>232</v>
      </c>
      <c r="D100" s="25" t="s">
        <v>233</v>
      </c>
      <c r="E100" s="25" t="s">
        <v>234</v>
      </c>
      <c r="F100" s="26">
        <v>0.26229999999999998</v>
      </c>
      <c r="G100" s="27">
        <v>0.2</v>
      </c>
      <c r="H100" s="28">
        <f>F100 * G100 * 10984.9716</f>
        <v>576.27161013600005</v>
      </c>
      <c r="I100" s="28">
        <f>F100 * G100 * 11366.870669</f>
        <v>596.30603529574</v>
      </c>
      <c r="J100" s="28">
        <f>F100 * G100 * 0</f>
        <v>0</v>
      </c>
      <c r="K100" s="28">
        <f>F100 * G100 * 10457.692963</f>
        <v>548.61057283897992</v>
      </c>
      <c r="L100" s="28">
        <f>F100 * G100 * 3445.001199</f>
        <v>180.72476289954</v>
      </c>
      <c r="M100" s="28">
        <f>F100 * G100 * 2196.99432</f>
        <v>115.25432202719999</v>
      </c>
      <c r="N100" s="29">
        <f>SUM(H100:M100)</f>
        <v>2017.1673031974601</v>
      </c>
      <c r="O100" s="92">
        <f t="shared" si="24"/>
        <v>2470.2533370051578</v>
      </c>
      <c r="P100" s="30">
        <f t="shared" si="25"/>
        <v>2.2108736413965185E-2</v>
      </c>
    </row>
    <row r="101" spans="2:16" s="31" customFormat="1" ht="14.25" x14ac:dyDescent="0.2">
      <c r="B101" s="32"/>
      <c r="C101" s="33" t="s">
        <v>235</v>
      </c>
      <c r="D101" s="106" t="s">
        <v>236</v>
      </c>
      <c r="E101" s="106"/>
      <c r="F101" s="106"/>
      <c r="G101" s="106"/>
      <c r="H101" s="106"/>
      <c r="I101" s="106"/>
      <c r="J101" s="106"/>
      <c r="K101" s="106"/>
      <c r="L101" s="106"/>
      <c r="M101" s="106"/>
      <c r="N101" s="106"/>
      <c r="O101" s="106"/>
      <c r="P101" s="106"/>
    </row>
    <row r="102" spans="2:16" ht="45" x14ac:dyDescent="0.25">
      <c r="B102" s="23">
        <v>49</v>
      </c>
      <c r="C102" s="24" t="s">
        <v>237</v>
      </c>
      <c r="D102" s="25" t="s">
        <v>238</v>
      </c>
      <c r="E102" s="25" t="s">
        <v>239</v>
      </c>
      <c r="F102" s="26">
        <v>0.14860000000000001</v>
      </c>
      <c r="G102" s="27">
        <v>0.2</v>
      </c>
      <c r="H102" s="28">
        <f>F102 * G102 * 7948.598332</f>
        <v>236.23234242704001</v>
      </c>
      <c r="I102" s="28">
        <f>F102 * G102 * 17467.456208</f>
        <v>519.13279850176002</v>
      </c>
      <c r="J102" s="28">
        <f>F102 * G102 * 590.3821</f>
        <v>17.546156012000004</v>
      </c>
      <c r="K102" s="28">
        <f>F102 * G102 * 7734.62394799999</f>
        <v>229.87302373455975</v>
      </c>
      <c r="L102" s="28">
        <f>F102 * G102 * 3542.811362</f>
        <v>105.29235367864001</v>
      </c>
      <c r="M102" s="28">
        <f>F102 * G102 * 1624.920997</f>
        <v>48.292652030840003</v>
      </c>
      <c r="N102" s="29">
        <f>SUM(H102:M102)</f>
        <v>1156.3693263848397</v>
      </c>
      <c r="O102" s="92">
        <f>N102*1.07*1.09*1.05</f>
        <v>1416.1072226307706</v>
      </c>
      <c r="P102" s="30">
        <f>IF($P$10&gt;0,O102/$P$10/12,0)</f>
        <v>1.2674141898746738E-2</v>
      </c>
    </row>
    <row r="103" spans="2:16" s="20" customFormat="1" ht="13.9" customHeight="1" x14ac:dyDescent="0.2">
      <c r="B103" s="21"/>
      <c r="C103" s="22" t="s">
        <v>240</v>
      </c>
      <c r="D103" s="105" t="s">
        <v>241</v>
      </c>
      <c r="E103" s="105"/>
      <c r="F103" s="105"/>
      <c r="G103" s="105"/>
      <c r="H103" s="105"/>
      <c r="I103" s="105"/>
      <c r="J103" s="105"/>
      <c r="K103" s="105"/>
      <c r="L103" s="105"/>
      <c r="M103" s="105"/>
      <c r="N103" s="105"/>
      <c r="O103" s="105"/>
      <c r="P103" s="105"/>
    </row>
    <row r="104" spans="2:16" s="31" customFormat="1" ht="14.25" x14ac:dyDescent="0.2">
      <c r="B104" s="32"/>
      <c r="C104" s="33" t="s">
        <v>242</v>
      </c>
      <c r="D104" s="106" t="s">
        <v>243</v>
      </c>
      <c r="E104" s="106"/>
      <c r="F104" s="106"/>
      <c r="G104" s="106"/>
      <c r="H104" s="106"/>
      <c r="I104" s="106"/>
      <c r="J104" s="106"/>
      <c r="K104" s="106"/>
      <c r="L104" s="106"/>
      <c r="M104" s="106"/>
      <c r="N104" s="106"/>
      <c r="O104" s="106"/>
      <c r="P104" s="106"/>
    </row>
    <row r="105" spans="2:16" x14ac:dyDescent="0.25">
      <c r="B105" s="23">
        <v>50</v>
      </c>
      <c r="C105" s="24" t="s">
        <v>244</v>
      </c>
      <c r="D105" s="25" t="s">
        <v>245</v>
      </c>
      <c r="E105" s="25" t="s">
        <v>246</v>
      </c>
      <c r="F105" s="26">
        <v>0.2</v>
      </c>
      <c r="G105" s="27">
        <v>0.5</v>
      </c>
      <c r="H105" s="28">
        <f>F105 * G105 * 13756.16262</f>
        <v>1375.616262</v>
      </c>
      <c r="I105" s="28">
        <f>F105 * G105 * 15070.617201</f>
        <v>1507.0617201</v>
      </c>
      <c r="J105" s="28">
        <f t="shared" ref="J105:J112" si="26">F105 * G105 * 0</f>
        <v>0</v>
      </c>
      <c r="K105" s="28">
        <f>F105 * G105 * 13095.866814</f>
        <v>1309.5866814000001</v>
      </c>
      <c r="L105" s="28">
        <f>F105 * G105 * 4401.877897</f>
        <v>440.18778970000005</v>
      </c>
      <c r="M105" s="28">
        <f>F105 * G105 * 2751.232524</f>
        <v>275.12325240000001</v>
      </c>
      <c r="N105" s="29">
        <f t="shared" ref="N105:N112" si="27">SUM(H105:M105)</f>
        <v>4907.5757056000002</v>
      </c>
      <c r="O105" s="92">
        <f t="shared" ref="O105:O112" si="28">N105*1.07*1.09*1.05</f>
        <v>6009.8908227133452</v>
      </c>
      <c r="P105" s="30">
        <f t="shared" ref="P105:P112" si="29">IF($P$10&gt;0,O105/$P$10/12,0)</f>
        <v>5.3788447559457858E-2</v>
      </c>
    </row>
    <row r="106" spans="2:16" ht="30" x14ac:dyDescent="0.25">
      <c r="B106" s="23">
        <v>51</v>
      </c>
      <c r="C106" s="24" t="s">
        <v>247</v>
      </c>
      <c r="D106" s="25" t="s">
        <v>248</v>
      </c>
      <c r="E106" s="25" t="s">
        <v>249</v>
      </c>
      <c r="F106" s="26">
        <v>0.3</v>
      </c>
      <c r="G106" s="27">
        <v>1</v>
      </c>
      <c r="H106" s="28">
        <f>F106 * G106 * 1231.42248</f>
        <v>369.42674399999999</v>
      </c>
      <c r="I106" s="28">
        <f>F106 * G106 * 365.698861</f>
        <v>109.7096583</v>
      </c>
      <c r="J106" s="28">
        <f t="shared" si="26"/>
        <v>0</v>
      </c>
      <c r="K106" s="28">
        <f>F106 * G106 * 1172.314201</f>
        <v>351.69426029999994</v>
      </c>
      <c r="L106" s="28">
        <f>F106 * G106 * 290.790732</f>
        <v>87.237219599999989</v>
      </c>
      <c r="M106" s="28">
        <f>F106 * G106 * 246.284496</f>
        <v>73.885348799999989</v>
      </c>
      <c r="N106" s="29">
        <f t="shared" si="27"/>
        <v>991.95323099999985</v>
      </c>
      <c r="O106" s="92">
        <f t="shared" si="28"/>
        <v>1214.760805981065</v>
      </c>
      <c r="P106" s="30">
        <f t="shared" si="29"/>
        <v>1.0872093992598942E-2</v>
      </c>
    </row>
    <row r="107" spans="2:16" ht="30" x14ac:dyDescent="0.25">
      <c r="B107" s="23">
        <v>52</v>
      </c>
      <c r="C107" s="24" t="s">
        <v>250</v>
      </c>
      <c r="D107" s="25" t="s">
        <v>251</v>
      </c>
      <c r="E107" s="25" t="s">
        <v>249</v>
      </c>
      <c r="F107" s="26">
        <v>0.3</v>
      </c>
      <c r="G107" s="27">
        <v>1</v>
      </c>
      <c r="H107" s="28">
        <f>F107 * G107 * 1140.206</f>
        <v>342.06179999999995</v>
      </c>
      <c r="I107" s="28">
        <f>F107 * G107 * 367.259668</f>
        <v>110.17790039999998</v>
      </c>
      <c r="J107" s="28">
        <f t="shared" si="26"/>
        <v>0</v>
      </c>
      <c r="K107" s="28">
        <f>F107 * G107 * 1085.476112</f>
        <v>325.64283360000002</v>
      </c>
      <c r="L107" s="28">
        <f>F107 * G107 * 272.258886999999</f>
        <v>81.677666099999698</v>
      </c>
      <c r="M107" s="28">
        <f>F107 * G107 * 228.0412</f>
        <v>68.412359999999993</v>
      </c>
      <c r="N107" s="29">
        <f t="shared" si="27"/>
        <v>927.97256009999967</v>
      </c>
      <c r="O107" s="92">
        <f t="shared" si="28"/>
        <v>1136.4091166868614</v>
      </c>
      <c r="P107" s="30">
        <f t="shared" si="29"/>
        <v>1.0170847355161111E-2</v>
      </c>
    </row>
    <row r="108" spans="2:16" x14ac:dyDescent="0.25">
      <c r="B108" s="23">
        <v>53</v>
      </c>
      <c r="C108" s="24" t="s">
        <v>252</v>
      </c>
      <c r="D108" s="25" t="s">
        <v>253</v>
      </c>
      <c r="E108" s="25" t="s">
        <v>254</v>
      </c>
      <c r="F108" s="26">
        <v>2</v>
      </c>
      <c r="G108" s="27">
        <v>1</v>
      </c>
      <c r="H108" s="28">
        <f>F108 * G108 * 12.14643</f>
        <v>24.292860000000001</v>
      </c>
      <c r="I108" s="28">
        <f>F108 * G108 * 1.50115</f>
        <v>3.0023</v>
      </c>
      <c r="J108" s="28">
        <f t="shared" si="26"/>
        <v>0</v>
      </c>
      <c r="K108" s="28">
        <f>F108 * G108 * 11.563402</f>
        <v>23.126804</v>
      </c>
      <c r="L108" s="28">
        <f>F108 * G108 * 2.647153</f>
        <v>5.2943059999999997</v>
      </c>
      <c r="M108" s="28">
        <f>F108 * G108 * 2.429286</f>
        <v>4.8585719999999997</v>
      </c>
      <c r="N108" s="29">
        <f t="shared" si="27"/>
        <v>60.574842000000004</v>
      </c>
      <c r="O108" s="92">
        <f t="shared" si="28"/>
        <v>74.180860135830017</v>
      </c>
      <c r="P108" s="30">
        <f t="shared" si="29"/>
        <v>6.6391776873080241E-4</v>
      </c>
    </row>
    <row r="109" spans="2:16" x14ac:dyDescent="0.25">
      <c r="B109" s="23">
        <v>54</v>
      </c>
      <c r="C109" s="24" t="s">
        <v>255</v>
      </c>
      <c r="D109" s="25" t="s">
        <v>256</v>
      </c>
      <c r="E109" s="25" t="s">
        <v>257</v>
      </c>
      <c r="F109" s="26">
        <v>3</v>
      </c>
      <c r="G109" s="27">
        <v>1</v>
      </c>
      <c r="H109" s="28">
        <f>F109 * G109 * 30.366075</f>
        <v>91.098224999999999</v>
      </c>
      <c r="I109" s="28">
        <f>F109 * G109 * 155.096104</f>
        <v>465.28831200000002</v>
      </c>
      <c r="J109" s="28">
        <f t="shared" si="26"/>
        <v>0</v>
      </c>
      <c r="K109" s="28">
        <f>F109 * G109 * 28.908504</f>
        <v>86.725512000000009</v>
      </c>
      <c r="L109" s="28">
        <f>F109 * G109 * 22.508921</f>
        <v>67.526763000000003</v>
      </c>
      <c r="M109" s="28">
        <f>F109 * G109 * 6.073215</f>
        <v>18.219645</v>
      </c>
      <c r="N109" s="29">
        <f t="shared" si="27"/>
        <v>728.85845699999993</v>
      </c>
      <c r="O109" s="92">
        <f t="shared" si="28"/>
        <v>892.57099931905509</v>
      </c>
      <c r="P109" s="30">
        <f t="shared" si="29"/>
        <v>7.9884992600065801E-3</v>
      </c>
    </row>
    <row r="110" spans="2:16" x14ac:dyDescent="0.25">
      <c r="B110" s="23">
        <v>55</v>
      </c>
      <c r="C110" s="24" t="s">
        <v>258</v>
      </c>
      <c r="D110" s="25" t="s">
        <v>259</v>
      </c>
      <c r="E110" s="25" t="s">
        <v>260</v>
      </c>
      <c r="F110" s="26">
        <v>0.03</v>
      </c>
      <c r="G110" s="27">
        <v>1</v>
      </c>
      <c r="H110" s="28">
        <f>F110 * G110 * 11587.69422</f>
        <v>347.63082659999998</v>
      </c>
      <c r="I110" s="28">
        <f>F110 * G110 * 14545.312165</f>
        <v>436.35936494999999</v>
      </c>
      <c r="J110" s="28">
        <f t="shared" si="26"/>
        <v>0</v>
      </c>
      <c r="K110" s="28">
        <f>F110 * G110 * 11031.484897</f>
        <v>330.94454690999999</v>
      </c>
      <c r="L110" s="28">
        <f>F110 * G110 * 3902.271584</f>
        <v>117.06814752</v>
      </c>
      <c r="M110" s="28">
        <f>F110 * G110 * 2317.538844</f>
        <v>69.526165320000004</v>
      </c>
      <c r="N110" s="29">
        <f t="shared" si="27"/>
        <v>1301.5290513</v>
      </c>
      <c r="O110" s="92">
        <f t="shared" si="28"/>
        <v>1593.8719991577498</v>
      </c>
      <c r="P110" s="30">
        <f t="shared" si="29"/>
        <v>1.4265134421273669E-2</v>
      </c>
    </row>
    <row r="111" spans="2:16" x14ac:dyDescent="0.25">
      <c r="B111" s="23">
        <v>56</v>
      </c>
      <c r="C111" s="24" t="s">
        <v>261</v>
      </c>
      <c r="D111" s="25" t="s">
        <v>262</v>
      </c>
      <c r="E111" s="25" t="s">
        <v>263</v>
      </c>
      <c r="F111" s="26">
        <v>0.03</v>
      </c>
      <c r="G111" s="27">
        <v>1</v>
      </c>
      <c r="H111" s="28">
        <f>F111 * G111 * 21620.6454</f>
        <v>648.61936200000002</v>
      </c>
      <c r="I111" s="28">
        <f>F111 * G111 * 64191.056331</f>
        <v>1925.7316899299999</v>
      </c>
      <c r="J111" s="28">
        <f t="shared" si="26"/>
        <v>0</v>
      </c>
      <c r="K111" s="28">
        <f>F111 * G111 * 20582.854421</f>
        <v>617.48563262999994</v>
      </c>
      <c r="L111" s="28">
        <f>F111 * G111 * 11171.428396</f>
        <v>335.14285187999997</v>
      </c>
      <c r="M111" s="28">
        <f>F111 * G111 * 4324.12908</f>
        <v>129.72387239999998</v>
      </c>
      <c r="N111" s="29">
        <f t="shared" si="27"/>
        <v>3656.7034088399996</v>
      </c>
      <c r="O111" s="92">
        <f t="shared" si="28"/>
        <v>4478.0538450165968</v>
      </c>
      <c r="P111" s="30">
        <f t="shared" si="29"/>
        <v>4.0078525802962416E-2</v>
      </c>
    </row>
    <row r="112" spans="2:16" x14ac:dyDescent="0.25">
      <c r="B112" s="23">
        <v>57</v>
      </c>
      <c r="C112" s="24" t="s">
        <v>264</v>
      </c>
      <c r="D112" s="25" t="s">
        <v>265</v>
      </c>
      <c r="E112" s="25" t="s">
        <v>263</v>
      </c>
      <c r="F112" s="26">
        <v>0.03</v>
      </c>
      <c r="G112" s="27">
        <v>1</v>
      </c>
      <c r="H112" s="28">
        <f>F112 * G112 * 14818.6445999999</f>
        <v>444.55933799999696</v>
      </c>
      <c r="I112" s="28">
        <f>F112 * G112 * 67644.90536</f>
        <v>2029.3471608</v>
      </c>
      <c r="J112" s="28">
        <f t="shared" si="26"/>
        <v>0</v>
      </c>
      <c r="K112" s="28">
        <f>F112 * G112 * 14107.349659</f>
        <v>423.22048976999997</v>
      </c>
      <c r="L112" s="28">
        <f>F112 * G112 * 10139.94446</f>
        <v>304.1983338</v>
      </c>
      <c r="M112" s="28">
        <f>F112 * G112 * 2963.72892</f>
        <v>88.911867599999994</v>
      </c>
      <c r="N112" s="29">
        <f t="shared" si="27"/>
        <v>3290.2371899699965</v>
      </c>
      <c r="O112" s="92">
        <f t="shared" si="28"/>
        <v>4029.273816395108</v>
      </c>
      <c r="P112" s="30">
        <f t="shared" si="29"/>
        <v>3.6061950170005977E-2</v>
      </c>
    </row>
    <row r="113" spans="2:16" s="31" customFormat="1" ht="14.25" x14ac:dyDescent="0.2">
      <c r="B113" s="32"/>
      <c r="C113" s="33" t="s">
        <v>266</v>
      </c>
      <c r="D113" s="106" t="s">
        <v>267</v>
      </c>
      <c r="E113" s="106"/>
      <c r="F113" s="106"/>
      <c r="G113" s="106"/>
      <c r="H113" s="106"/>
      <c r="I113" s="106"/>
      <c r="J113" s="106"/>
      <c r="K113" s="106"/>
      <c r="L113" s="106"/>
      <c r="M113" s="106"/>
      <c r="N113" s="106"/>
      <c r="O113" s="106"/>
      <c r="P113" s="106"/>
    </row>
    <row r="114" spans="2:16" ht="30" x14ac:dyDescent="0.25">
      <c r="B114" s="23">
        <v>58</v>
      </c>
      <c r="C114" s="24" t="s">
        <v>268</v>
      </c>
      <c r="D114" s="25" t="s">
        <v>269</v>
      </c>
      <c r="E114" s="25" t="s">
        <v>270</v>
      </c>
      <c r="F114" s="26">
        <v>7.0000000000000007E-2</v>
      </c>
      <c r="G114" s="27">
        <v>1</v>
      </c>
      <c r="H114" s="28">
        <f>F114 * G114 * 1680.25615</f>
        <v>117.6179305</v>
      </c>
      <c r="I114" s="28">
        <f>F114 * G114 * 253.648478</f>
        <v>17.755393460000004</v>
      </c>
      <c r="J114" s="28">
        <f t="shared" ref="J114:J120" si="30">F114 * G114 * 0</f>
        <v>0</v>
      </c>
      <c r="K114" s="28">
        <f>F114 * G114 * 1599.603854</f>
        <v>111.97226978</v>
      </c>
      <c r="L114" s="28">
        <f>F114 * G114 * 371.01839</f>
        <v>25.971287300000004</v>
      </c>
      <c r="M114" s="28">
        <f>F114 * G114 * 336.05123</f>
        <v>23.523586099999999</v>
      </c>
      <c r="N114" s="29">
        <f t="shared" ref="N114:N120" si="31">SUM(H114:M114)</f>
        <v>296.84046713999999</v>
      </c>
      <c r="O114" s="92">
        <f t="shared" ref="O114:O120" si="32">N114*1.07*1.09*1.05</f>
        <v>363.51528866665114</v>
      </c>
      <c r="P114" s="30">
        <f t="shared" ref="P114:P120" si="33">IF($P$10&gt;0,O114/$P$10/12,0)</f>
        <v>3.2534572787263371E-3</v>
      </c>
    </row>
    <row r="115" spans="2:16" ht="30" x14ac:dyDescent="0.25">
      <c r="B115" s="23">
        <v>59</v>
      </c>
      <c r="C115" s="24" t="s">
        <v>271</v>
      </c>
      <c r="D115" s="25" t="s">
        <v>272</v>
      </c>
      <c r="E115" s="25" t="s">
        <v>249</v>
      </c>
      <c r="F115" s="26">
        <v>0.7</v>
      </c>
      <c r="G115" s="27">
        <v>1</v>
      </c>
      <c r="H115" s="28">
        <f>F115 * G115 * 889.36068</f>
        <v>622.55247599999996</v>
      </c>
      <c r="I115" s="28">
        <f>F115 * G115 * 284.119261</f>
        <v>198.88348269999997</v>
      </c>
      <c r="J115" s="28">
        <f t="shared" si="30"/>
        <v>0</v>
      </c>
      <c r="K115" s="28">
        <f>F115 * G115 * 846.671366999999</f>
        <v>592.66995689999931</v>
      </c>
      <c r="L115" s="28">
        <f>F115 * G115 * 212.115887999999</f>
        <v>148.48112159999928</v>
      </c>
      <c r="M115" s="28">
        <f>F115 * G115 * 177.872136</f>
        <v>124.51049519999999</v>
      </c>
      <c r="N115" s="29">
        <f t="shared" si="31"/>
        <v>1687.0975323999985</v>
      </c>
      <c r="O115" s="92">
        <f t="shared" si="32"/>
        <v>2066.0449446400244</v>
      </c>
      <c r="P115" s="30">
        <f t="shared" si="33"/>
        <v>1.8491076367021304E-2</v>
      </c>
    </row>
    <row r="116" spans="2:16" x14ac:dyDescent="0.25">
      <c r="B116" s="23">
        <v>60</v>
      </c>
      <c r="C116" s="24" t="s">
        <v>273</v>
      </c>
      <c r="D116" s="25" t="s">
        <v>274</v>
      </c>
      <c r="E116" s="25" t="s">
        <v>275</v>
      </c>
      <c r="F116" s="26">
        <v>0.2</v>
      </c>
      <c r="G116" s="27">
        <v>1</v>
      </c>
      <c r="H116" s="28">
        <f>F116 * G116 * 658.78956</f>
        <v>131.757912</v>
      </c>
      <c r="I116" s="28">
        <f>F116 * G116 * 3385.664386</f>
        <v>677.13287720000005</v>
      </c>
      <c r="J116" s="28">
        <f t="shared" si="30"/>
        <v>0</v>
      </c>
      <c r="K116" s="28">
        <f>F116 * G116 * 627.167661</f>
        <v>125.4335322</v>
      </c>
      <c r="L116" s="28">
        <f>F116 * G116 * 490.520269</f>
        <v>98.104053800000003</v>
      </c>
      <c r="M116" s="28">
        <f>F116 * G116 * 131.757912</f>
        <v>26.351582400000002</v>
      </c>
      <c r="N116" s="29">
        <f t="shared" si="31"/>
        <v>1058.7799576000002</v>
      </c>
      <c r="O116" s="92">
        <f t="shared" si="32"/>
        <v>1296.5978177763245</v>
      </c>
      <c r="P116" s="30">
        <f t="shared" si="33"/>
        <v>1.1604534222750193E-2</v>
      </c>
    </row>
    <row r="117" spans="2:16" x14ac:dyDescent="0.25">
      <c r="B117" s="23">
        <v>61</v>
      </c>
      <c r="C117" s="24" t="s">
        <v>276</v>
      </c>
      <c r="D117" s="25" t="s">
        <v>277</v>
      </c>
      <c r="E117" s="25" t="s">
        <v>278</v>
      </c>
      <c r="F117" s="26">
        <v>0.11</v>
      </c>
      <c r="G117" s="27">
        <v>0.5</v>
      </c>
      <c r="H117" s="28">
        <f>F117 * G117 * 3036.6075</f>
        <v>167.01341250000002</v>
      </c>
      <c r="I117" s="28">
        <f>F117 * G117 * 14994.544136</f>
        <v>824.69992748000004</v>
      </c>
      <c r="J117" s="28">
        <f t="shared" si="30"/>
        <v>0</v>
      </c>
      <c r="K117" s="28">
        <f>F117 * G117 * 2890.85034</f>
        <v>158.99676869999999</v>
      </c>
      <c r="L117" s="28">
        <f>F117 * G117 * 2196.810208</f>
        <v>120.82456144</v>
      </c>
      <c r="M117" s="28">
        <f>F117 * G117 * 607.3215</f>
        <v>33.402682500000004</v>
      </c>
      <c r="N117" s="29">
        <f t="shared" si="31"/>
        <v>1304.9373526200002</v>
      </c>
      <c r="O117" s="92">
        <f t="shared" si="32"/>
        <v>1598.0458560787417</v>
      </c>
      <c r="P117" s="30">
        <f t="shared" si="33"/>
        <v>1.4302490388418194E-2</v>
      </c>
    </row>
    <row r="118" spans="2:16" x14ac:dyDescent="0.25">
      <c r="B118" s="23">
        <v>62</v>
      </c>
      <c r="C118" s="24" t="s">
        <v>279</v>
      </c>
      <c r="D118" s="25" t="s">
        <v>280</v>
      </c>
      <c r="E118" s="25" t="s">
        <v>281</v>
      </c>
      <c r="F118" s="26">
        <v>0.11</v>
      </c>
      <c r="G118" s="27">
        <v>0.5</v>
      </c>
      <c r="H118" s="28">
        <f>F118 * G118 * 7846.59378</f>
        <v>431.56265790000003</v>
      </c>
      <c r="I118" s="28">
        <f>F118 * G118 * 6568.45736</f>
        <v>361.2651548</v>
      </c>
      <c r="J118" s="28">
        <f t="shared" si="30"/>
        <v>0</v>
      </c>
      <c r="K118" s="28">
        <f>F118 * G118 * 7469.957279</f>
        <v>410.84765034500003</v>
      </c>
      <c r="L118" s="28">
        <f>F118 * G118 * 2297.92588399999</f>
        <v>126.38592361999946</v>
      </c>
      <c r="M118" s="28">
        <f>F118 * G118 * 1569.318756</f>
        <v>86.312531579999998</v>
      </c>
      <c r="N118" s="29">
        <f t="shared" si="31"/>
        <v>1416.3739182449995</v>
      </c>
      <c r="O118" s="92">
        <f t="shared" si="32"/>
        <v>1734.5127458916004</v>
      </c>
      <c r="P118" s="30">
        <f t="shared" si="33"/>
        <v>1.5523867342315546E-2</v>
      </c>
    </row>
    <row r="119" spans="2:16" x14ac:dyDescent="0.25">
      <c r="B119" s="23">
        <v>63</v>
      </c>
      <c r="C119" s="24" t="s">
        <v>282</v>
      </c>
      <c r="D119" s="25" t="s">
        <v>283</v>
      </c>
      <c r="E119" s="25" t="s">
        <v>162</v>
      </c>
      <c r="F119" s="26">
        <v>2.6200000000000001E-2</v>
      </c>
      <c r="G119" s="27">
        <v>1</v>
      </c>
      <c r="H119" s="28">
        <f>F119 * G119 * 20346.39585</f>
        <v>533.07557127000007</v>
      </c>
      <c r="I119" s="28">
        <f>F119 * G119 * 4051.4143</f>
        <v>106.14705466000001</v>
      </c>
      <c r="J119" s="28">
        <f t="shared" si="30"/>
        <v>0</v>
      </c>
      <c r="K119" s="28">
        <f>F119 * G119 * 19369.76885</f>
        <v>507.48794387000004</v>
      </c>
      <c r="L119" s="28">
        <f>F119 * G119 * 4595.59579499999</f>
        <v>120.40460982899975</v>
      </c>
      <c r="M119" s="28">
        <f>F119 * G119 * 4069.27917</f>
        <v>106.61511425400001</v>
      </c>
      <c r="N119" s="29">
        <f t="shared" si="31"/>
        <v>1373.7302938829998</v>
      </c>
      <c r="O119" s="92">
        <f t="shared" si="32"/>
        <v>1682.2907238435303</v>
      </c>
      <c r="P119" s="30">
        <f t="shared" si="33"/>
        <v>1.5056480899326338E-2</v>
      </c>
    </row>
    <row r="120" spans="2:16" ht="60" x14ac:dyDescent="0.25">
      <c r="B120" s="23">
        <v>64</v>
      </c>
      <c r="C120" s="24" t="s">
        <v>284</v>
      </c>
      <c r="D120" s="25" t="s">
        <v>285</v>
      </c>
      <c r="E120" s="25" t="s">
        <v>286</v>
      </c>
      <c r="F120" s="26">
        <v>6.9900000000000004E-2</v>
      </c>
      <c r="G120" s="27">
        <v>1</v>
      </c>
      <c r="H120" s="28">
        <f>F120 * G120 * 9287.97014</f>
        <v>649.22911278599997</v>
      </c>
      <c r="I120" s="28">
        <f>F120 * G120 * 37850.238465</f>
        <v>2645.7316687035004</v>
      </c>
      <c r="J120" s="28">
        <f t="shared" si="30"/>
        <v>0</v>
      </c>
      <c r="K120" s="28">
        <f>F120 * G120 * 8842.147573</f>
        <v>618.06611535270008</v>
      </c>
      <c r="L120" s="28">
        <f>F120 * G120 * 5877.937399</f>
        <v>410.86782419010007</v>
      </c>
      <c r="M120" s="28">
        <f>F120 * G120 * 1857.594028</f>
        <v>129.84582255719999</v>
      </c>
      <c r="N120" s="29">
        <f t="shared" si="31"/>
        <v>4453.7405435895007</v>
      </c>
      <c r="O120" s="92">
        <f t="shared" si="32"/>
        <v>5454.1174757878571</v>
      </c>
      <c r="P120" s="30">
        <f t="shared" si="33"/>
        <v>4.8814283068305021E-2</v>
      </c>
    </row>
    <row r="121" spans="2:16" s="20" customFormat="1" ht="13.9" customHeight="1" x14ac:dyDescent="0.2">
      <c r="B121" s="21"/>
      <c r="C121" s="22" t="s">
        <v>287</v>
      </c>
      <c r="D121" s="105" t="s">
        <v>288</v>
      </c>
      <c r="E121" s="105"/>
      <c r="F121" s="105"/>
      <c r="G121" s="105"/>
      <c r="H121" s="105"/>
      <c r="I121" s="105"/>
      <c r="J121" s="105"/>
      <c r="K121" s="105"/>
      <c r="L121" s="105"/>
      <c r="M121" s="105"/>
      <c r="N121" s="105"/>
      <c r="O121" s="105"/>
      <c r="P121" s="105"/>
    </row>
    <row r="122" spans="2:16" s="31" customFormat="1" ht="14.25" x14ac:dyDescent="0.2">
      <c r="B122" s="32"/>
      <c r="C122" s="33" t="s">
        <v>289</v>
      </c>
      <c r="D122" s="106" t="s">
        <v>290</v>
      </c>
      <c r="E122" s="106"/>
      <c r="F122" s="106"/>
      <c r="G122" s="106"/>
      <c r="H122" s="106"/>
      <c r="I122" s="106"/>
      <c r="J122" s="106"/>
      <c r="K122" s="106"/>
      <c r="L122" s="106"/>
      <c r="M122" s="106"/>
      <c r="N122" s="106"/>
      <c r="O122" s="106"/>
      <c r="P122" s="106"/>
    </row>
    <row r="123" spans="2:16" ht="45" x14ac:dyDescent="0.25">
      <c r="B123" s="23">
        <v>65</v>
      </c>
      <c r="C123" s="24" t="s">
        <v>291</v>
      </c>
      <c r="D123" s="25" t="s">
        <v>292</v>
      </c>
      <c r="E123" s="25" t="s">
        <v>293</v>
      </c>
      <c r="F123" s="26">
        <v>2.6200000000000001E-2</v>
      </c>
      <c r="G123" s="27">
        <v>1</v>
      </c>
      <c r="H123" s="28">
        <f>F123 * G123 * 41103.83</f>
        <v>1076.9203460000001</v>
      </c>
      <c r="I123" s="28">
        <f>F123 * G123 * 20460.176586</f>
        <v>536.05662655320009</v>
      </c>
      <c r="J123" s="28">
        <f>F123 * G123 * 0</f>
        <v>0</v>
      </c>
      <c r="K123" s="28">
        <f>F123 * G123 * 39130.84616</f>
        <v>1025.2281693920002</v>
      </c>
      <c r="L123" s="28">
        <f>F123 * G123 * 10572.959539</f>
        <v>277.01153992180002</v>
      </c>
      <c r="M123" s="28">
        <f>F123 * G123 * 8220.766</f>
        <v>215.3840692</v>
      </c>
      <c r="N123" s="29">
        <f>SUM(H123:M123)</f>
        <v>3130.6007510670001</v>
      </c>
      <c r="O123" s="92">
        <f>N123*1.07*1.09*1.05</f>
        <v>3833.7806387679152</v>
      </c>
      <c r="P123" s="30">
        <f>IF($P$10&gt;0,O123/$P$10/12,0)</f>
        <v>3.4312288679768689E-2</v>
      </c>
    </row>
    <row r="124" spans="2:16" s="31" customFormat="1" ht="14.25" x14ac:dyDescent="0.2">
      <c r="B124" s="32"/>
      <c r="C124" s="33" t="s">
        <v>294</v>
      </c>
      <c r="D124" s="106" t="s">
        <v>295</v>
      </c>
      <c r="E124" s="106"/>
      <c r="F124" s="106"/>
      <c r="G124" s="106"/>
      <c r="H124" s="106"/>
      <c r="I124" s="106"/>
      <c r="J124" s="106"/>
      <c r="K124" s="106"/>
      <c r="L124" s="106"/>
      <c r="M124" s="106"/>
      <c r="N124" s="106"/>
      <c r="O124" s="106"/>
      <c r="P124" s="106"/>
    </row>
    <row r="125" spans="2:16" x14ac:dyDescent="0.25">
      <c r="B125" s="23">
        <v>66</v>
      </c>
      <c r="C125" s="24" t="s">
        <v>296</v>
      </c>
      <c r="D125" s="25" t="s">
        <v>297</v>
      </c>
      <c r="E125" s="25" t="s">
        <v>298</v>
      </c>
      <c r="F125" s="26">
        <v>5.2499999999999998E-2</v>
      </c>
      <c r="G125" s="27">
        <v>1</v>
      </c>
      <c r="H125" s="28">
        <f>F125 * G125 * 12146.43</f>
        <v>637.68757500000004</v>
      </c>
      <c r="I125" s="28">
        <f>F125 * G125 * 13219.555501</f>
        <v>694.02666380250002</v>
      </c>
      <c r="J125" s="28">
        <f>F125 * G125 * 0</f>
        <v>0</v>
      </c>
      <c r="K125" s="28">
        <f>F125 * G125 * 11563.40136</f>
        <v>607.07857139999999</v>
      </c>
      <c r="L125" s="28">
        <f>F125 * G125 * 3877.58562</f>
        <v>203.57324505</v>
      </c>
      <c r="M125" s="28">
        <f>F125 * G125 * 2429.286</f>
        <v>127.537515</v>
      </c>
      <c r="N125" s="29">
        <f>SUM(H125:M125)</f>
        <v>2269.9035702524998</v>
      </c>
      <c r="O125" s="92">
        <f>N125*1.07*1.09*1.05</f>
        <v>2779.7579606847657</v>
      </c>
      <c r="P125" s="30">
        <f>IF($P$10&gt;0,O125/$P$10/12,0)</f>
        <v>2.4878798917810169E-2</v>
      </c>
    </row>
    <row r="126" spans="2:16" s="31" customFormat="1" ht="14.25" x14ac:dyDescent="0.2">
      <c r="B126" s="32"/>
      <c r="C126" s="33" t="s">
        <v>299</v>
      </c>
      <c r="D126" s="106" t="s">
        <v>300</v>
      </c>
      <c r="E126" s="106"/>
      <c r="F126" s="106"/>
      <c r="G126" s="106"/>
      <c r="H126" s="106"/>
      <c r="I126" s="106"/>
      <c r="J126" s="106"/>
      <c r="K126" s="106"/>
      <c r="L126" s="106"/>
      <c r="M126" s="106"/>
      <c r="N126" s="106"/>
      <c r="O126" s="106"/>
      <c r="P126" s="106"/>
    </row>
    <row r="127" spans="2:16" s="31" customFormat="1" ht="14.25" x14ac:dyDescent="0.2">
      <c r="B127" s="32"/>
      <c r="C127" s="33" t="s">
        <v>301</v>
      </c>
      <c r="D127" s="107" t="s">
        <v>302</v>
      </c>
      <c r="E127" s="107"/>
      <c r="F127" s="107"/>
      <c r="G127" s="107"/>
      <c r="H127" s="107"/>
      <c r="I127" s="107"/>
      <c r="J127" s="107"/>
      <c r="K127" s="107"/>
      <c r="L127" s="107"/>
      <c r="M127" s="107"/>
      <c r="N127" s="107"/>
      <c r="O127" s="107"/>
      <c r="P127" s="107"/>
    </row>
    <row r="128" spans="2:16" x14ac:dyDescent="0.25">
      <c r="B128" s="23">
        <v>67</v>
      </c>
      <c r="C128" s="24" t="s">
        <v>303</v>
      </c>
      <c r="D128" s="25" t="s">
        <v>304</v>
      </c>
      <c r="E128" s="25" t="s">
        <v>214</v>
      </c>
      <c r="F128" s="26">
        <v>5.2499999999999998E-2</v>
      </c>
      <c r="G128" s="27">
        <v>1</v>
      </c>
      <c r="H128" s="28">
        <f>F128 * G128 * 10526.906</f>
        <v>552.66256499999997</v>
      </c>
      <c r="I128" s="28">
        <f>F128 * G128 * 13205.572305</f>
        <v>693.2925460125</v>
      </c>
      <c r="J128" s="28">
        <f>F128 * G128 * 0</f>
        <v>0</v>
      </c>
      <c r="K128" s="28">
        <f>F128 * G128 * 10021.614512</f>
        <v>526.13476188000004</v>
      </c>
      <c r="L128" s="28">
        <f>F128 * G128 * 3544.179746</f>
        <v>186.06943666499998</v>
      </c>
      <c r="M128" s="28">
        <f>F128 * G128 * 2105.3812</f>
        <v>110.53251299999998</v>
      </c>
      <c r="N128" s="29">
        <f>SUM(H128:M128)</f>
        <v>2068.6918225575</v>
      </c>
      <c r="O128" s="92">
        <f t="shared" ref="O128:O129" si="34">N128*1.07*1.09*1.05</f>
        <v>2533.3510362812531</v>
      </c>
      <c r="P128" s="30">
        <f t="shared" ref="P128:P129" si="35">IF($P$10&gt;0,O128/$P$10/12,0)</f>
        <v>2.2673460031873174E-2</v>
      </c>
    </row>
    <row r="129" spans="2:16" x14ac:dyDescent="0.25">
      <c r="B129" s="23">
        <v>68</v>
      </c>
      <c r="C129" s="24" t="s">
        <v>305</v>
      </c>
      <c r="D129" s="25" t="s">
        <v>306</v>
      </c>
      <c r="E129" s="25" t="s">
        <v>214</v>
      </c>
      <c r="F129" s="26">
        <v>5.2499999999999998E-2</v>
      </c>
      <c r="G129" s="27">
        <v>1</v>
      </c>
      <c r="H129" s="28">
        <f>F129 * G129 * 13895.063</f>
        <v>729.49080749999996</v>
      </c>
      <c r="I129" s="28">
        <f>F129 * G129 * 12624.216449</f>
        <v>662.77136357249992</v>
      </c>
      <c r="J129" s="28">
        <f>F129 * G129 * 0</f>
        <v>0</v>
      </c>
      <c r="K129" s="28">
        <f>F129 * G129 * 13228.099976</f>
        <v>694.47524873999998</v>
      </c>
      <c r="L129" s="28">
        <f>F129 * G129 * 4173.47484</f>
        <v>219.10742909999999</v>
      </c>
      <c r="M129" s="28">
        <f>F129 * G129 * 2779.0126</f>
        <v>145.89816149999999</v>
      </c>
      <c r="N129" s="29">
        <f>SUM(H129:M129)</f>
        <v>2451.7430104124996</v>
      </c>
      <c r="O129" s="92">
        <f t="shared" si="34"/>
        <v>3002.441266696304</v>
      </c>
      <c r="P129" s="30">
        <f t="shared" si="35"/>
        <v>2.6871811716395518E-2</v>
      </c>
    </row>
    <row r="130" spans="2:16" s="31" customFormat="1" ht="14.25" x14ac:dyDescent="0.2">
      <c r="B130" s="32"/>
      <c r="C130" s="33" t="s">
        <v>307</v>
      </c>
      <c r="D130" s="106" t="s">
        <v>308</v>
      </c>
      <c r="E130" s="106"/>
      <c r="F130" s="106"/>
      <c r="G130" s="106"/>
      <c r="H130" s="106"/>
      <c r="I130" s="106"/>
      <c r="J130" s="106"/>
      <c r="K130" s="106"/>
      <c r="L130" s="106"/>
      <c r="M130" s="106"/>
      <c r="N130" s="106"/>
      <c r="O130" s="106"/>
      <c r="P130" s="106"/>
    </row>
    <row r="131" spans="2:16" ht="45" x14ac:dyDescent="0.25">
      <c r="B131" s="23">
        <v>69</v>
      </c>
      <c r="C131" s="24" t="s">
        <v>309</v>
      </c>
      <c r="D131" s="25" t="s">
        <v>310</v>
      </c>
      <c r="E131" s="25" t="s">
        <v>311</v>
      </c>
      <c r="F131" s="26">
        <v>5.2499999999999998E-2</v>
      </c>
      <c r="G131" s="27">
        <v>1</v>
      </c>
      <c r="H131" s="28">
        <f>F131 * G131 * 16773.313923</f>
        <v>880.59898095750009</v>
      </c>
      <c r="I131" s="28">
        <f>F131 * G131 * 1930.152429</f>
        <v>101.3330025225</v>
      </c>
      <c r="J131" s="28">
        <f>F131 * G131 * 0</f>
        <v>0</v>
      </c>
      <c r="K131" s="28">
        <f>F131 * G131 * 15968.1948549999</f>
        <v>838.33022988749474</v>
      </c>
      <c r="L131" s="28">
        <f>F131 * G131 * 3640.524427</f>
        <v>191.12753241749999</v>
      </c>
      <c r="M131" s="28">
        <f>F131 * G131 * 3354.662785</f>
        <v>176.11979621250001</v>
      </c>
      <c r="N131" s="29">
        <f>SUM(H131:M131)</f>
        <v>2187.509541997495</v>
      </c>
      <c r="O131" s="92">
        <f>N131*1.07*1.09*1.05</f>
        <v>2678.8569977732627</v>
      </c>
      <c r="P131" s="30">
        <f>IF($P$10&gt;0,O131/$P$10/12,0)</f>
        <v>2.3975736564039511E-2</v>
      </c>
    </row>
    <row r="132" spans="2:16" s="31" customFormat="1" ht="14.25" x14ac:dyDescent="0.2">
      <c r="B132" s="32"/>
      <c r="C132" s="33" t="s">
        <v>312</v>
      </c>
      <c r="D132" s="106" t="s">
        <v>313</v>
      </c>
      <c r="E132" s="106"/>
      <c r="F132" s="106"/>
      <c r="G132" s="106"/>
      <c r="H132" s="106"/>
      <c r="I132" s="106"/>
      <c r="J132" s="106"/>
      <c r="K132" s="106"/>
      <c r="L132" s="106"/>
      <c r="M132" s="106"/>
      <c r="N132" s="106"/>
      <c r="O132" s="106"/>
      <c r="P132" s="106"/>
    </row>
    <row r="133" spans="2:16" x14ac:dyDescent="0.25">
      <c r="B133" s="23">
        <v>70</v>
      </c>
      <c r="C133" s="24" t="s">
        <v>314</v>
      </c>
      <c r="D133" s="25" t="s">
        <v>315</v>
      </c>
      <c r="E133" s="25" t="s">
        <v>316</v>
      </c>
      <c r="F133" s="26">
        <v>0.14000000000000001</v>
      </c>
      <c r="G133" s="27">
        <v>1</v>
      </c>
      <c r="H133" s="28">
        <f>F133 * G133 * 9248.36175</f>
        <v>1294.7706450000001</v>
      </c>
      <c r="I133" s="28">
        <f>F133 * G133 * 1461.792087</f>
        <v>204.65089218000003</v>
      </c>
      <c r="J133" s="28">
        <f>F133 * G133 * 0</f>
        <v>0</v>
      </c>
      <c r="K133" s="28">
        <f>F133 * G133 * 8804.440386</f>
        <v>1232.6216540400001</v>
      </c>
      <c r="L133" s="28">
        <f>F133 * G133 * 2049.032393</f>
        <v>286.86453502000001</v>
      </c>
      <c r="M133" s="28">
        <f>F133 * G133 * 1849.67235</f>
        <v>258.95412900000002</v>
      </c>
      <c r="N133" s="29">
        <f>SUM(H133:M133)</f>
        <v>3277.8618552400003</v>
      </c>
      <c r="O133" s="92">
        <f>N133*1.07*1.09*1.05</f>
        <v>4014.1187958547339</v>
      </c>
      <c r="P133" s="30">
        <f>IF($P$10&gt;0,O133/$P$10/12,0)</f>
        <v>3.5926312926061771E-2</v>
      </c>
    </row>
    <row r="134" spans="2:16" s="31" customFormat="1" ht="14.25" x14ac:dyDescent="0.2">
      <c r="B134" s="32"/>
      <c r="C134" s="33" t="s">
        <v>317</v>
      </c>
      <c r="D134" s="106" t="s">
        <v>318</v>
      </c>
      <c r="E134" s="106"/>
      <c r="F134" s="106"/>
      <c r="G134" s="106"/>
      <c r="H134" s="106"/>
      <c r="I134" s="106"/>
      <c r="J134" s="106"/>
      <c r="K134" s="106"/>
      <c r="L134" s="106"/>
      <c r="M134" s="106"/>
      <c r="N134" s="106"/>
      <c r="O134" s="106"/>
      <c r="P134" s="106"/>
    </row>
    <row r="135" spans="2:16" ht="30" x14ac:dyDescent="0.25">
      <c r="B135" s="23">
        <v>71</v>
      </c>
      <c r="C135" s="24" t="s">
        <v>319</v>
      </c>
      <c r="D135" s="25" t="s">
        <v>320</v>
      </c>
      <c r="E135" s="25" t="s">
        <v>107</v>
      </c>
      <c r="F135" s="26">
        <v>0.1749</v>
      </c>
      <c r="G135" s="27">
        <v>1</v>
      </c>
      <c r="H135" s="28">
        <f>F135 * G135 * 7809.7277</f>
        <v>1365.92137473</v>
      </c>
      <c r="I135" s="28">
        <f>F135 * G135 * 2462.44734</f>
        <v>430.682039766</v>
      </c>
      <c r="J135" s="28">
        <f>F135 * G135 * 0</f>
        <v>0</v>
      </c>
      <c r="K135" s="28">
        <f>F135 * G135 * 7434.86077</f>
        <v>1300.357148673</v>
      </c>
      <c r="L135" s="28">
        <f>F135 * G135 * 1859.23876</f>
        <v>325.18085912399999</v>
      </c>
      <c r="M135" s="28">
        <f>F135 * G135 * 1561.94554</f>
        <v>273.18427494600002</v>
      </c>
      <c r="N135" s="29">
        <f>SUM(H135:M135)</f>
        <v>3695.3256972390004</v>
      </c>
      <c r="O135" s="92">
        <f t="shared" ref="O135:O137" si="36">N135*1.07*1.09*1.05</f>
        <v>4525.351278724339</v>
      </c>
      <c r="P135" s="30">
        <f t="shared" ref="P135:P137" si="37">IF($P$10&gt;0,O135/$P$10/12,0)</f>
        <v>4.0501837242010695E-2</v>
      </c>
    </row>
    <row r="136" spans="2:16" ht="30" x14ac:dyDescent="0.25">
      <c r="B136" s="23">
        <v>72</v>
      </c>
      <c r="C136" s="24" t="s">
        <v>321</v>
      </c>
      <c r="D136" s="25" t="s">
        <v>322</v>
      </c>
      <c r="E136" s="25" t="s">
        <v>323</v>
      </c>
      <c r="F136" s="26">
        <v>2.6200000000000001E-2</v>
      </c>
      <c r="G136" s="27">
        <v>1</v>
      </c>
      <c r="H136" s="28">
        <f>F136 * G136 * 2548.43746</f>
        <v>66.769061452000003</v>
      </c>
      <c r="I136" s="28">
        <f>F136 * G136 * 566.597779</f>
        <v>14.844861809799999</v>
      </c>
      <c r="J136" s="28">
        <f>F136 * G136 * 0</f>
        <v>0</v>
      </c>
      <c r="K136" s="28">
        <f>F136 * G136 * 2426.112462</f>
        <v>63.564146504400007</v>
      </c>
      <c r="L136" s="28">
        <f>F136 * G136 * 581.820509</f>
        <v>15.2436973358</v>
      </c>
      <c r="M136" s="28">
        <f>F136 * G136 * 509.687492</f>
        <v>13.353812290400001</v>
      </c>
      <c r="N136" s="29">
        <f>SUM(H136:M136)</f>
        <v>173.7755793924</v>
      </c>
      <c r="O136" s="92">
        <f t="shared" si="36"/>
        <v>212.80818115762395</v>
      </c>
      <c r="P136" s="30">
        <f t="shared" si="37"/>
        <v>1.9046305548779576E-3</v>
      </c>
    </row>
    <row r="137" spans="2:16" ht="30" x14ac:dyDescent="0.25">
      <c r="B137" s="23">
        <v>73</v>
      </c>
      <c r="C137" s="24" t="s">
        <v>324</v>
      </c>
      <c r="D137" s="25" t="s">
        <v>325</v>
      </c>
      <c r="E137" s="25" t="s">
        <v>326</v>
      </c>
      <c r="F137" s="26">
        <v>2.6200000000000001E-2</v>
      </c>
      <c r="G137" s="27">
        <v>1</v>
      </c>
      <c r="H137" s="28">
        <f>F137 * G137 * 29645.356</f>
        <v>776.70832719999999</v>
      </c>
      <c r="I137" s="28">
        <f>F137 * G137 * 356587.319217</f>
        <v>9342.5877634854005</v>
      </c>
      <c r="J137" s="28">
        <f>F137 * G137 * 0</f>
        <v>0</v>
      </c>
      <c r="K137" s="28">
        <f>F137 * G137 * 28222.378912</f>
        <v>739.42632749440008</v>
      </c>
      <c r="L137" s="28">
        <f>F137 * G137 * 43517.780684</f>
        <v>1140.1658539207999</v>
      </c>
      <c r="M137" s="28">
        <f>F137 * G137 * 5929.0712</f>
        <v>155.34166544000001</v>
      </c>
      <c r="N137" s="29">
        <f>SUM(H137:M137)</f>
        <v>12154.229937540602</v>
      </c>
      <c r="O137" s="92">
        <f t="shared" si="36"/>
        <v>14884.252294961287</v>
      </c>
      <c r="P137" s="30">
        <f t="shared" si="37"/>
        <v>0.13321387154048336</v>
      </c>
    </row>
    <row r="138" spans="2:16" s="20" customFormat="1" ht="13.9" customHeight="1" x14ac:dyDescent="0.2">
      <c r="B138" s="21"/>
      <c r="C138" s="22" t="s">
        <v>327</v>
      </c>
      <c r="D138" s="105" t="s">
        <v>328</v>
      </c>
      <c r="E138" s="105"/>
      <c r="F138" s="105"/>
      <c r="G138" s="105"/>
      <c r="H138" s="105"/>
      <c r="I138" s="105"/>
      <c r="J138" s="105"/>
      <c r="K138" s="105"/>
      <c r="L138" s="105"/>
      <c r="M138" s="105"/>
      <c r="N138" s="105"/>
      <c r="O138" s="105"/>
      <c r="P138" s="105"/>
    </row>
    <row r="139" spans="2:16" s="31" customFormat="1" ht="14.25" x14ac:dyDescent="0.2">
      <c r="B139" s="32"/>
      <c r="C139" s="33" t="s">
        <v>329</v>
      </c>
      <c r="D139" s="106" t="s">
        <v>330</v>
      </c>
      <c r="E139" s="106"/>
      <c r="F139" s="106"/>
      <c r="G139" s="106"/>
      <c r="H139" s="106"/>
      <c r="I139" s="106"/>
      <c r="J139" s="106"/>
      <c r="K139" s="106"/>
      <c r="L139" s="106"/>
      <c r="M139" s="106"/>
      <c r="N139" s="106"/>
      <c r="O139" s="106"/>
      <c r="P139" s="106"/>
    </row>
    <row r="140" spans="2:16" x14ac:dyDescent="0.25">
      <c r="B140" s="23">
        <v>74</v>
      </c>
      <c r="C140" s="24" t="s">
        <v>331</v>
      </c>
      <c r="D140" s="25" t="s">
        <v>332</v>
      </c>
      <c r="E140" s="25" t="s">
        <v>333</v>
      </c>
      <c r="F140" s="26">
        <v>9.6199999999999994E-2</v>
      </c>
      <c r="G140" s="27">
        <v>2</v>
      </c>
      <c r="H140" s="28">
        <f>F140 * G140 * 4432.5324</f>
        <v>852.81923375999997</v>
      </c>
      <c r="I140" s="28">
        <f>F140 * G140 * 17083.895458</f>
        <v>3286.9414861191995</v>
      </c>
      <c r="J140" s="28">
        <f>F140 * G140 * 0</f>
        <v>0</v>
      </c>
      <c r="K140" s="28">
        <f>F140 * G140 * 4219.770845</f>
        <v>811.88391057799993</v>
      </c>
      <c r="L140" s="28">
        <f>F140 * G140 * 2702.300864</f>
        <v>519.92268623359996</v>
      </c>
      <c r="M140" s="28">
        <f>F140 * G140 * 886.50648</f>
        <v>170.56384675199999</v>
      </c>
      <c r="N140" s="29">
        <f>SUM(H140:M140)</f>
        <v>5642.1311634427993</v>
      </c>
      <c r="O140" s="92">
        <f>N140*1.07*1.09*1.05</f>
        <v>6909.4384547195059</v>
      </c>
      <c r="P140" s="30">
        <f>IF($P$10&gt;0,O140/$P$10/12,0)</f>
        <v>6.1839387594596944E-2</v>
      </c>
    </row>
    <row r="141" spans="2:16" s="31" customFormat="1" ht="14.25" x14ac:dyDescent="0.2">
      <c r="B141" s="32"/>
      <c r="C141" s="33" t="s">
        <v>334</v>
      </c>
      <c r="D141" s="106" t="s">
        <v>335</v>
      </c>
      <c r="E141" s="106"/>
      <c r="F141" s="106"/>
      <c r="G141" s="106"/>
      <c r="H141" s="106"/>
      <c r="I141" s="106"/>
      <c r="J141" s="106"/>
      <c r="K141" s="106"/>
      <c r="L141" s="106"/>
      <c r="M141" s="106"/>
      <c r="N141" s="106"/>
      <c r="O141" s="106"/>
      <c r="P141" s="106"/>
    </row>
    <row r="142" spans="2:16" ht="45" x14ac:dyDescent="0.25">
      <c r="B142" s="23">
        <v>75</v>
      </c>
      <c r="C142" s="24" t="s">
        <v>336</v>
      </c>
      <c r="D142" s="25" t="s">
        <v>337</v>
      </c>
      <c r="E142" s="25" t="s">
        <v>338</v>
      </c>
      <c r="F142" s="26">
        <v>1.7484999999999999</v>
      </c>
      <c r="G142" s="27">
        <v>2</v>
      </c>
      <c r="H142" s="28">
        <f>F142 * G142 * 308.278725</f>
        <v>1078.0507013250001</v>
      </c>
      <c r="I142" s="28">
        <f>F142 * G142 * 81.910391</f>
        <v>286.44063732699999</v>
      </c>
      <c r="J142" s="28">
        <f>F142 * G142 * 0</f>
        <v>0</v>
      </c>
      <c r="K142" s="28">
        <f>F142 * G142 * 293.481346</f>
        <v>1026.3042669619999</v>
      </c>
      <c r="L142" s="28">
        <f>F142 * G142 * 71.785398</f>
        <v>251.033536806</v>
      </c>
      <c r="M142" s="28">
        <f>F142 * G142 * 61.655745</f>
        <v>215.61014026500001</v>
      </c>
      <c r="N142" s="29">
        <f>SUM(H142:M142)</f>
        <v>2857.4392826850003</v>
      </c>
      <c r="O142" s="92">
        <f t="shared" ref="O142:O144" si="38">N142*1.07*1.09*1.05</f>
        <v>3499.263007165292</v>
      </c>
      <c r="P142" s="30">
        <f t="shared" ref="P142:P144" si="39">IF($P$10&gt;0,O142/$P$10/12,0)</f>
        <v>3.1318360068425269E-2</v>
      </c>
    </row>
    <row r="143" spans="2:16" ht="45" x14ac:dyDescent="0.25">
      <c r="B143" s="23">
        <v>76</v>
      </c>
      <c r="C143" s="24" t="s">
        <v>339</v>
      </c>
      <c r="D143" s="25" t="s">
        <v>340</v>
      </c>
      <c r="E143" s="25" t="s">
        <v>338</v>
      </c>
      <c r="F143" s="26">
        <v>1.7484999999999999</v>
      </c>
      <c r="G143" s="27">
        <v>2</v>
      </c>
      <c r="H143" s="28">
        <f>F143 * G143 * 55.888452</f>
        <v>195.441916644</v>
      </c>
      <c r="I143" s="28">
        <f>F143 * G143 * 1.912696</f>
        <v>6.6886979119999994</v>
      </c>
      <c r="J143" s="28">
        <f>F143 * G143 * 0</f>
        <v>0</v>
      </c>
      <c r="K143" s="28">
        <f>F143 * G143 * 53.205807</f>
        <v>186.060707079</v>
      </c>
      <c r="L143" s="28">
        <f>F143 * G143 * 11.65573</f>
        <v>40.760087810000002</v>
      </c>
      <c r="M143" s="28">
        <f>F143 * G143 * 11.17769</f>
        <v>39.088381929999997</v>
      </c>
      <c r="N143" s="29">
        <f>SUM(H143:M143)</f>
        <v>468.03979137500005</v>
      </c>
      <c r="O143" s="92">
        <f t="shared" si="38"/>
        <v>573.16854911469568</v>
      </c>
      <c r="P143" s="30">
        <f t="shared" si="39"/>
        <v>5.1298513327846604E-3</v>
      </c>
    </row>
    <row r="144" spans="2:16" ht="45" x14ac:dyDescent="0.25">
      <c r="B144" s="23">
        <v>77</v>
      </c>
      <c r="C144" s="24" t="s">
        <v>341</v>
      </c>
      <c r="D144" s="25" t="s">
        <v>342</v>
      </c>
      <c r="E144" s="25" t="s">
        <v>343</v>
      </c>
      <c r="F144" s="26">
        <v>5.2499999999999998E-2</v>
      </c>
      <c r="G144" s="27">
        <v>2</v>
      </c>
      <c r="H144" s="28">
        <f>F144 * G144 * 7105.66155</f>
        <v>746.09446274999993</v>
      </c>
      <c r="I144" s="28">
        <f>F144 * G144 * 4996.466322</f>
        <v>524.62896380999996</v>
      </c>
      <c r="J144" s="28">
        <f>F144 * G144 * 0</f>
        <v>0</v>
      </c>
      <c r="K144" s="28">
        <f>F144 * G144 * 6764.589795</f>
        <v>710.28192847499997</v>
      </c>
      <c r="L144" s="28">
        <f>F144 * G144 * 1981.005355</f>
        <v>208.00556227499999</v>
      </c>
      <c r="M144" s="28">
        <f>F144 * G144 * 1421.13231</f>
        <v>149.21889254999999</v>
      </c>
      <c r="N144" s="29">
        <f>SUM(H144:M144)</f>
        <v>2338.2298098599999</v>
      </c>
      <c r="O144" s="92">
        <f t="shared" si="38"/>
        <v>2863.4312986017039</v>
      </c>
      <c r="P144" s="30">
        <f t="shared" si="39"/>
        <v>2.5627674243741308E-2</v>
      </c>
    </row>
    <row r="145" spans="2:16" s="31" customFormat="1" ht="14.25" x14ac:dyDescent="0.2">
      <c r="B145" s="32"/>
      <c r="C145" s="33" t="s">
        <v>344</v>
      </c>
      <c r="D145" s="106" t="s">
        <v>345</v>
      </c>
      <c r="E145" s="106"/>
      <c r="F145" s="106"/>
      <c r="G145" s="106"/>
      <c r="H145" s="106"/>
      <c r="I145" s="106"/>
      <c r="J145" s="106"/>
      <c r="K145" s="106"/>
      <c r="L145" s="106"/>
      <c r="M145" s="106"/>
      <c r="N145" s="106"/>
      <c r="O145" s="106"/>
      <c r="P145" s="106"/>
    </row>
    <row r="146" spans="2:16" ht="30" x14ac:dyDescent="0.25">
      <c r="B146" s="23">
        <v>78</v>
      </c>
      <c r="C146" s="24" t="s">
        <v>346</v>
      </c>
      <c r="D146" s="25" t="s">
        <v>347</v>
      </c>
      <c r="E146" s="25" t="s">
        <v>348</v>
      </c>
      <c r="F146" s="26">
        <v>9.3109999999999999</v>
      </c>
      <c r="G146" s="27">
        <v>2</v>
      </c>
      <c r="H146" s="28">
        <f>F146 * G146 * 78.951795</f>
        <v>1470.2403264900001</v>
      </c>
      <c r="I146" s="28">
        <f t="shared" ref="I146:I151" si="40">F146 * G146 * 0</f>
        <v>0</v>
      </c>
      <c r="J146" s="28">
        <f t="shared" ref="J146:J151" si="41">F146 * G146 * 0</f>
        <v>0</v>
      </c>
      <c r="K146" s="28">
        <f>F146 * G146 * 75.162109</f>
        <v>1399.668793798</v>
      </c>
      <c r="L146" s="28">
        <f>F146 * G146 * 16.18196</f>
        <v>301.34045911999999</v>
      </c>
      <c r="M146" s="28">
        <f>F146 * G146 * 15.790359</f>
        <v>294.04806529799998</v>
      </c>
      <c r="N146" s="29">
        <f t="shared" ref="N146:N151" si="42">SUM(H146:M146)</f>
        <v>3465.297644706</v>
      </c>
      <c r="O146" s="92">
        <f t="shared" ref="O146:O151" si="43">N146*1.07*1.09*1.05</f>
        <v>4243.6554751716385</v>
      </c>
      <c r="P146" s="30">
        <f t="shared" ref="P146:P151" si="44">IF($P$10&gt;0,O146/$P$10/12,0)</f>
        <v>3.7980663329857507E-2</v>
      </c>
    </row>
    <row r="147" spans="2:16" ht="30" x14ac:dyDescent="0.25">
      <c r="B147" s="23">
        <v>79</v>
      </c>
      <c r="C147" s="24" t="s">
        <v>349</v>
      </c>
      <c r="D147" s="25" t="s">
        <v>350</v>
      </c>
      <c r="E147" s="25" t="s">
        <v>348</v>
      </c>
      <c r="F147" s="26">
        <v>9.3109999999999999</v>
      </c>
      <c r="G147" s="27">
        <v>2</v>
      </c>
      <c r="H147" s="28">
        <f>F147 * G147 * 629.589955</f>
        <v>11724.22414201</v>
      </c>
      <c r="I147" s="28">
        <f t="shared" si="40"/>
        <v>0</v>
      </c>
      <c r="J147" s="28">
        <f t="shared" si="41"/>
        <v>0</v>
      </c>
      <c r="K147" s="28">
        <f>F147 * G147 * 599.369637</f>
        <v>11161.461380213999</v>
      </c>
      <c r="L147" s="28">
        <f>F147 * G147 * 129.040757</f>
        <v>2402.9969768540004</v>
      </c>
      <c r="M147" s="28">
        <f>F147 * G147 * 125.917991</f>
        <v>2344.8448284020001</v>
      </c>
      <c r="N147" s="29">
        <f t="shared" si="42"/>
        <v>27633.527327479998</v>
      </c>
      <c r="O147" s="92">
        <f t="shared" si="43"/>
        <v>33840.432068141927</v>
      </c>
      <c r="P147" s="30">
        <f t="shared" si="44"/>
        <v>0.30287144298985008</v>
      </c>
    </row>
    <row r="148" spans="2:16" x14ac:dyDescent="0.25">
      <c r="B148" s="23">
        <v>80</v>
      </c>
      <c r="C148" s="24" t="s">
        <v>351</v>
      </c>
      <c r="D148" s="25" t="s">
        <v>352</v>
      </c>
      <c r="E148" s="25" t="s">
        <v>353</v>
      </c>
      <c r="F148" s="26">
        <v>1.3109999999999999</v>
      </c>
      <c r="G148" s="27">
        <v>2</v>
      </c>
      <c r="H148" s="28">
        <f>F148 * G148 * 312.416444</f>
        <v>819.15591616799998</v>
      </c>
      <c r="I148" s="28">
        <f t="shared" si="40"/>
        <v>0</v>
      </c>
      <c r="J148" s="28">
        <f t="shared" si="41"/>
        <v>0</v>
      </c>
      <c r="K148" s="28">
        <f>F148 * G148 * 297.420455</f>
        <v>779.83643300999995</v>
      </c>
      <c r="L148" s="28">
        <f>F148 * G148 * 64.032874</f>
        <v>167.89419562800001</v>
      </c>
      <c r="M148" s="28">
        <f>F148 * G148 * 62.483289</f>
        <v>163.83118375799998</v>
      </c>
      <c r="N148" s="29">
        <f t="shared" si="42"/>
        <v>1930.717728564</v>
      </c>
      <c r="O148" s="92">
        <f t="shared" si="43"/>
        <v>2364.3858911654033</v>
      </c>
      <c r="P148" s="30">
        <f t="shared" si="44"/>
        <v>2.1161224100216619E-2</v>
      </c>
    </row>
    <row r="149" spans="2:16" x14ac:dyDescent="0.25">
      <c r="B149" s="23">
        <v>81</v>
      </c>
      <c r="C149" s="24" t="s">
        <v>354</v>
      </c>
      <c r="D149" s="25" t="s">
        <v>355</v>
      </c>
      <c r="E149" s="25" t="s">
        <v>353</v>
      </c>
      <c r="F149" s="26">
        <v>1.3109999999999999</v>
      </c>
      <c r="G149" s="27">
        <v>2</v>
      </c>
      <c r="H149" s="28">
        <f>F149 * G149 * 255.406144</f>
        <v>669.67490956799998</v>
      </c>
      <c r="I149" s="28">
        <f t="shared" si="40"/>
        <v>0</v>
      </c>
      <c r="J149" s="28">
        <f t="shared" si="41"/>
        <v>0</v>
      </c>
      <c r="K149" s="28">
        <f>F149 * G149 * 243.146649</f>
        <v>637.53051367799992</v>
      </c>
      <c r="L149" s="28">
        <f>F149 * G149 * 52.348043</f>
        <v>137.256568746</v>
      </c>
      <c r="M149" s="28">
        <f>F149 * G149 * 51.081229</f>
        <v>133.93498243799999</v>
      </c>
      <c r="N149" s="29">
        <f t="shared" si="42"/>
        <v>1578.39697443</v>
      </c>
      <c r="O149" s="92">
        <f t="shared" si="43"/>
        <v>1932.9286108415947</v>
      </c>
      <c r="P149" s="30">
        <f t="shared" si="44"/>
        <v>1.7299686847470686E-2</v>
      </c>
    </row>
    <row r="150" spans="2:16" ht="30" x14ac:dyDescent="0.25">
      <c r="B150" s="23">
        <v>82</v>
      </c>
      <c r="C150" s="24" t="s">
        <v>356</v>
      </c>
      <c r="D150" s="25" t="s">
        <v>357</v>
      </c>
      <c r="E150" s="25" t="s">
        <v>348</v>
      </c>
      <c r="F150" s="26">
        <v>9.3109999999999999</v>
      </c>
      <c r="G150" s="27">
        <v>2</v>
      </c>
      <c r="H150" s="28">
        <f>F150 * G150 * 912.1648</f>
        <v>16986.3329056</v>
      </c>
      <c r="I150" s="28">
        <f t="shared" si="40"/>
        <v>0</v>
      </c>
      <c r="J150" s="28">
        <f t="shared" si="41"/>
        <v>0</v>
      </c>
      <c r="K150" s="28">
        <f>F150 * G150 * 868.380889999999</f>
        <v>16170.988933579982</v>
      </c>
      <c r="L150" s="28">
        <f>F150 * G150 * 186.957296999999</f>
        <v>3481.5187847339812</v>
      </c>
      <c r="M150" s="28">
        <f>F150 * G150 * 182.43296</f>
        <v>3397.26658112</v>
      </c>
      <c r="N150" s="29">
        <f t="shared" si="42"/>
        <v>40036.107205033964</v>
      </c>
      <c r="O150" s="92">
        <f t="shared" si="43"/>
        <v>49028.817424892673</v>
      </c>
      <c r="P150" s="30">
        <f t="shared" si="44"/>
        <v>0.43880730162256715</v>
      </c>
    </row>
    <row r="151" spans="2:16" ht="30" x14ac:dyDescent="0.25">
      <c r="B151" s="23">
        <v>83</v>
      </c>
      <c r="C151" s="24" t="s">
        <v>358</v>
      </c>
      <c r="D151" s="25" t="s">
        <v>359</v>
      </c>
      <c r="E151" s="25" t="s">
        <v>348</v>
      </c>
      <c r="F151" s="26">
        <v>9.3109999999999999</v>
      </c>
      <c r="G151" s="27">
        <v>2</v>
      </c>
      <c r="H151" s="28">
        <f>F151 * G151 * 684.1236</f>
        <v>12739.7496792</v>
      </c>
      <c r="I151" s="28">
        <f t="shared" si="40"/>
        <v>0</v>
      </c>
      <c r="J151" s="28">
        <f t="shared" si="41"/>
        <v>0</v>
      </c>
      <c r="K151" s="28">
        <f>F151 * G151 * 651.285667</f>
        <v>12128.241690874</v>
      </c>
      <c r="L151" s="28">
        <f>F151 * G151 * 140.217973</f>
        <v>2611.1390932059999</v>
      </c>
      <c r="M151" s="28">
        <f>F151 * G151 * 136.82472</f>
        <v>2547.9499358400003</v>
      </c>
      <c r="N151" s="29">
        <f t="shared" si="42"/>
        <v>30027.080399119997</v>
      </c>
      <c r="O151" s="92">
        <f t="shared" si="43"/>
        <v>36771.613062968339</v>
      </c>
      <c r="P151" s="30">
        <f t="shared" si="44"/>
        <v>0.32910547616589997</v>
      </c>
    </row>
    <row r="152" spans="2:16" s="31" customFormat="1" ht="14.25" x14ac:dyDescent="0.2">
      <c r="B152" s="32"/>
      <c r="C152" s="33" t="s">
        <v>360</v>
      </c>
      <c r="D152" s="106" t="s">
        <v>361</v>
      </c>
      <c r="E152" s="106"/>
      <c r="F152" s="106"/>
      <c r="G152" s="106"/>
      <c r="H152" s="106"/>
      <c r="I152" s="106"/>
      <c r="J152" s="106"/>
      <c r="K152" s="106"/>
      <c r="L152" s="106"/>
      <c r="M152" s="106"/>
      <c r="N152" s="106"/>
      <c r="O152" s="106"/>
      <c r="P152" s="106"/>
    </row>
    <row r="153" spans="2:16" ht="30" x14ac:dyDescent="0.25">
      <c r="B153" s="23">
        <v>84</v>
      </c>
      <c r="C153" s="24" t="s">
        <v>362</v>
      </c>
      <c r="D153" s="25" t="s">
        <v>363</v>
      </c>
      <c r="E153" s="25" t="s">
        <v>364</v>
      </c>
      <c r="F153" s="26">
        <v>1.3109999999999999</v>
      </c>
      <c r="G153" s="27">
        <v>2</v>
      </c>
      <c r="H153" s="28">
        <f>F153 * G153 * 638.51536</f>
        <v>1674.1872739199998</v>
      </c>
      <c r="I153" s="28">
        <f>F153 * G153 * 0</f>
        <v>0</v>
      </c>
      <c r="J153" s="28">
        <f>F153 * G153 * 0</f>
        <v>0</v>
      </c>
      <c r="K153" s="28">
        <f>F153 * G153 * 607.866623</f>
        <v>1593.826285506</v>
      </c>
      <c r="L153" s="28">
        <f>F153 * G153 * 130.870108</f>
        <v>343.14142317599993</v>
      </c>
      <c r="M153" s="28">
        <f>F153 * G153 * 127.703072</f>
        <v>334.83745478399999</v>
      </c>
      <c r="N153" s="29">
        <f>SUM(H153:M153)</f>
        <v>3945.9924373859999</v>
      </c>
      <c r="O153" s="92">
        <f>N153*1.07*1.09*1.05</f>
        <v>4832.3215287094563</v>
      </c>
      <c r="P153" s="30">
        <f>IF($P$10&gt;0,O153/$P$10/12,0)</f>
        <v>4.3249217133045643E-2</v>
      </c>
    </row>
    <row r="154" spans="2:16" s="20" customFormat="1" ht="13.9" customHeight="1" x14ac:dyDescent="0.2">
      <c r="B154" s="21"/>
      <c r="C154" s="22" t="s">
        <v>365</v>
      </c>
      <c r="D154" s="105" t="s">
        <v>366</v>
      </c>
      <c r="E154" s="105"/>
      <c r="F154" s="105"/>
      <c r="G154" s="105"/>
      <c r="H154" s="105"/>
      <c r="I154" s="105"/>
      <c r="J154" s="105"/>
      <c r="K154" s="105"/>
      <c r="L154" s="105"/>
      <c r="M154" s="105"/>
      <c r="N154" s="105"/>
      <c r="O154" s="105"/>
      <c r="P154" s="105"/>
    </row>
    <row r="155" spans="2:16" s="31" customFormat="1" ht="14.25" x14ac:dyDescent="0.2">
      <c r="B155" s="32"/>
      <c r="C155" s="33" t="s">
        <v>367</v>
      </c>
      <c r="D155" s="106" t="s">
        <v>368</v>
      </c>
      <c r="E155" s="106"/>
      <c r="F155" s="106"/>
      <c r="G155" s="106"/>
      <c r="H155" s="106"/>
      <c r="I155" s="106"/>
      <c r="J155" s="106"/>
      <c r="K155" s="106"/>
      <c r="L155" s="106"/>
      <c r="M155" s="106"/>
      <c r="N155" s="106"/>
      <c r="O155" s="106"/>
      <c r="P155" s="106"/>
    </row>
    <row r="156" spans="2:16" x14ac:dyDescent="0.25">
      <c r="B156" s="23">
        <v>85</v>
      </c>
      <c r="C156" s="24" t="s">
        <v>369</v>
      </c>
      <c r="D156" s="25" t="s">
        <v>370</v>
      </c>
      <c r="E156" s="25" t="s">
        <v>371</v>
      </c>
      <c r="F156" s="26">
        <v>0.04</v>
      </c>
      <c r="G156" s="27">
        <v>1</v>
      </c>
      <c r="H156" s="28">
        <f>F156 * G156 * 29412.732</f>
        <v>1176.50928</v>
      </c>
      <c r="I156" s="28">
        <f>F156 * G156 * 0</f>
        <v>0</v>
      </c>
      <c r="J156" s="28">
        <f>F156 * G156 * 158776.296</f>
        <v>6351.0518400000001</v>
      </c>
      <c r="K156" s="28">
        <f>F156 * G156 * 84666.103435</f>
        <v>3386.6441374000001</v>
      </c>
      <c r="L156" s="28">
        <f>F156 * G156 * 28649.788801</f>
        <v>1145.99155204</v>
      </c>
      <c r="M156" s="28">
        <f>F156 * G156 * 17786.99652</f>
        <v>711.47986079999998</v>
      </c>
      <c r="N156" s="29">
        <f>SUM(H156:M156)</f>
        <v>12771.67667024</v>
      </c>
      <c r="O156" s="92">
        <f t="shared" ref="O156:O159" si="45">N156*1.07*1.09*1.05</f>
        <v>15640.386825525962</v>
      </c>
      <c r="P156" s="30">
        <f t="shared" ref="P156:P159" si="46">IF($P$10&gt;0,O156/$P$10/12,0)</f>
        <v>0.13998126611468481</v>
      </c>
    </row>
    <row r="157" spans="2:16" x14ac:dyDescent="0.25">
      <c r="B157" s="23">
        <v>86</v>
      </c>
      <c r="C157" s="24" t="s">
        <v>372</v>
      </c>
      <c r="D157" s="25" t="s">
        <v>373</v>
      </c>
      <c r="E157" s="25" t="s">
        <v>371</v>
      </c>
      <c r="F157" s="26">
        <v>0.05</v>
      </c>
      <c r="G157" s="27">
        <v>1</v>
      </c>
      <c r="H157" s="28">
        <f>F157 * G157 * 15245.020875</f>
        <v>762.25104375000001</v>
      </c>
      <c r="I157" s="28">
        <f>F157 * G157 * 0</f>
        <v>0</v>
      </c>
      <c r="J157" s="28">
        <f>F157 * G157 * 0</f>
        <v>0</v>
      </c>
      <c r="K157" s="28">
        <f>F157 * G157 * 14513.259873</f>
        <v>725.66299365000009</v>
      </c>
      <c r="L157" s="28">
        <f>F157 * G157 * 3124.619479</f>
        <v>156.23097395000002</v>
      </c>
      <c r="M157" s="28">
        <f>F157 * G157 * 3049.004175</f>
        <v>152.45020875</v>
      </c>
      <c r="N157" s="29">
        <f>SUM(H157:M157)</f>
        <v>1796.5952201</v>
      </c>
      <c r="O157" s="92">
        <f t="shared" si="45"/>
        <v>2200.1374554627614</v>
      </c>
      <c r="P157" s="30">
        <f t="shared" si="46"/>
        <v>1.9691202658707992E-2</v>
      </c>
    </row>
    <row r="158" spans="2:16" x14ac:dyDescent="0.25">
      <c r="B158" s="23">
        <v>87</v>
      </c>
      <c r="C158" s="24" t="s">
        <v>374</v>
      </c>
      <c r="D158" s="25" t="s">
        <v>375</v>
      </c>
      <c r="E158" s="25" t="s">
        <v>376</v>
      </c>
      <c r="F158" s="26">
        <v>5.0000000000000001E-3</v>
      </c>
      <c r="G158" s="27">
        <v>1</v>
      </c>
      <c r="H158" s="28">
        <f>F158 * G158 * 35393.085</f>
        <v>176.96542500000001</v>
      </c>
      <c r="I158" s="28">
        <f>F158 * G158 * 0</f>
        <v>0</v>
      </c>
      <c r="J158" s="28">
        <f>F158 * G158 * 0</f>
        <v>0</v>
      </c>
      <c r="K158" s="28">
        <f>F158 * G158 * 33694.21692</f>
        <v>168.47108460000001</v>
      </c>
      <c r="L158" s="28">
        <f>F158 * G158 * 7254.166702</f>
        <v>36.270833510000003</v>
      </c>
      <c r="M158" s="28">
        <f>F158 * G158 * 7078.617</f>
        <v>35.393084999999999</v>
      </c>
      <c r="N158" s="29">
        <f>SUM(H158:M158)</f>
        <v>417.10042811</v>
      </c>
      <c r="O158" s="92">
        <f t="shared" si="45"/>
        <v>510.78744076992774</v>
      </c>
      <c r="P158" s="30">
        <f t="shared" si="46"/>
        <v>4.5715411947331802E-3</v>
      </c>
    </row>
    <row r="159" spans="2:16" x14ac:dyDescent="0.25">
      <c r="B159" s="23">
        <v>88</v>
      </c>
      <c r="C159" s="24" t="s">
        <v>377</v>
      </c>
      <c r="D159" s="25" t="s">
        <v>378</v>
      </c>
      <c r="E159" s="25" t="s">
        <v>371</v>
      </c>
      <c r="F159" s="26">
        <v>0.03</v>
      </c>
      <c r="G159" s="27">
        <v>1</v>
      </c>
      <c r="H159" s="28">
        <f>F159 * G159 * 14951.4721</f>
        <v>448.54416300000003</v>
      </c>
      <c r="I159" s="28">
        <f>F159 * G159 * 0</f>
        <v>0</v>
      </c>
      <c r="J159" s="28">
        <f>F159 * G159 * 0</f>
        <v>0</v>
      </c>
      <c r="K159" s="28">
        <f>F159 * G159 * 14233.8014389999</f>
        <v>427.01404316999702</v>
      </c>
      <c r="L159" s="28">
        <f>F159 * G159 * 3064.45372199999</f>
        <v>91.933611659999698</v>
      </c>
      <c r="M159" s="28">
        <f>F159 * G159 * 2990.29442</f>
        <v>89.708832600000008</v>
      </c>
      <c r="N159" s="29">
        <f>SUM(H159:M159)</f>
        <v>1057.2006504299966</v>
      </c>
      <c r="O159" s="92">
        <f t="shared" si="45"/>
        <v>1294.6637745263304</v>
      </c>
      <c r="P159" s="30">
        <f t="shared" si="46"/>
        <v>1.1587224559896274E-2</v>
      </c>
    </row>
    <row r="160" spans="2:16" s="31" customFormat="1" ht="14.25" x14ac:dyDescent="0.2">
      <c r="B160" s="32"/>
      <c r="C160" s="33" t="s">
        <v>379</v>
      </c>
      <c r="D160" s="106" t="s">
        <v>380</v>
      </c>
      <c r="E160" s="106"/>
      <c r="F160" s="106"/>
      <c r="G160" s="106"/>
      <c r="H160" s="106"/>
      <c r="I160" s="106"/>
      <c r="J160" s="106"/>
      <c r="K160" s="106"/>
      <c r="L160" s="106"/>
      <c r="M160" s="106"/>
      <c r="N160" s="106"/>
      <c r="O160" s="106"/>
      <c r="P160" s="106"/>
    </row>
    <row r="161" spans="2:16" ht="30" x14ac:dyDescent="0.25">
      <c r="B161" s="23">
        <v>89</v>
      </c>
      <c r="C161" s="24" t="s">
        <v>381</v>
      </c>
      <c r="D161" s="25" t="s">
        <v>382</v>
      </c>
      <c r="E161" s="25" t="s">
        <v>383</v>
      </c>
      <c r="F161" s="34">
        <v>1.9515</v>
      </c>
      <c r="G161" s="27">
        <v>2</v>
      </c>
      <c r="H161" s="28">
        <f>F161 * G161 * 664.69494</f>
        <v>2594.3043508199999</v>
      </c>
      <c r="I161" s="28">
        <f>F161 * G161 * 0</f>
        <v>0</v>
      </c>
      <c r="J161" s="28">
        <f>F161 * G161 * 0</f>
        <v>0</v>
      </c>
      <c r="K161" s="28">
        <f>F161 * G161 * 632.789583</f>
        <v>2469.777742449</v>
      </c>
      <c r="L161" s="28">
        <f>F161 * G161 * 136.235875</f>
        <v>531.72862012500002</v>
      </c>
      <c r="M161" s="28">
        <f>F161 * G161 * 132.938988</f>
        <v>518.86087016399995</v>
      </c>
      <c r="N161" s="29">
        <f>SUM(H161:M161)</f>
        <v>6114.6715835579998</v>
      </c>
      <c r="O161" s="92">
        <f>N161*1.07*1.09*1.05</f>
        <v>7488.1185412988807</v>
      </c>
      <c r="P161" s="30">
        <f>IF($P$10&gt;0,O161/$P$10/12,0)</f>
        <v>6.7018567118631009E-2</v>
      </c>
    </row>
    <row r="162" spans="2:16" s="20" customFormat="1" ht="13.9" customHeight="1" x14ac:dyDescent="0.2">
      <c r="B162" s="21"/>
      <c r="C162" s="22"/>
      <c r="D162" s="105" t="s">
        <v>384</v>
      </c>
      <c r="E162" s="105"/>
      <c r="F162" s="105"/>
      <c r="G162" s="105"/>
      <c r="H162" s="105"/>
      <c r="I162" s="105"/>
      <c r="J162" s="105"/>
      <c r="K162" s="105"/>
      <c r="L162" s="105"/>
      <c r="M162" s="105"/>
      <c r="N162" s="105"/>
      <c r="O162" s="105"/>
      <c r="P162" s="105"/>
    </row>
    <row r="163" spans="2:16" x14ac:dyDescent="0.25">
      <c r="B163" s="23">
        <v>90</v>
      </c>
      <c r="C163" s="24"/>
      <c r="D163" s="25" t="s">
        <v>385</v>
      </c>
      <c r="E163" s="25" t="s">
        <v>386</v>
      </c>
      <c r="F163" s="26">
        <f>(3.4*1.5+1.47*4.84+2.2*5.92+1.4*16+2.85*3.4)*3+(1.5*(3.29+2.74+0.6+2.99+0.4+2.92+0.6+2.8)+2.45*5.95+4.64*1.47+3.4+1.47)*3*11</f>
        <v>1847.6702999999998</v>
      </c>
      <c r="G163" s="27">
        <v>0.2</v>
      </c>
      <c r="H163" s="28">
        <f>4500*G163*F163</f>
        <v>1662903.2699999998</v>
      </c>
      <c r="I163" s="28"/>
      <c r="J163" s="28"/>
      <c r="K163" s="28"/>
      <c r="L163" s="28"/>
      <c r="M163" s="28"/>
      <c r="N163" s="29">
        <f>SUM(H163:M163)</f>
        <v>1662903.2699999998</v>
      </c>
      <c r="O163" s="92">
        <f>N163*1.07*1.09*1.05</f>
        <v>2036416.2879910499</v>
      </c>
      <c r="P163" s="30">
        <f>IF($P$10&gt;0,O163/$P$10/12,0)</f>
        <v>18.225900261259529</v>
      </c>
    </row>
    <row r="164" spans="2:16" s="35" customFormat="1" ht="13.9" customHeight="1" x14ac:dyDescent="0.25">
      <c r="B164" s="109" t="s">
        <v>387</v>
      </c>
      <c r="C164" s="109"/>
      <c r="D164" s="109"/>
      <c r="E164" s="109"/>
      <c r="F164" s="109"/>
      <c r="G164" s="109"/>
      <c r="H164" s="36">
        <f t="shared" ref="H164:N164" si="47">SUM(H17:H163)</f>
        <v>1770019.2296422513</v>
      </c>
      <c r="I164" s="36">
        <f t="shared" si="47"/>
        <v>77807.745166300476</v>
      </c>
      <c r="J164" s="36">
        <f t="shared" si="47"/>
        <v>7470.6238582387996</v>
      </c>
      <c r="K164" s="36">
        <f t="shared" si="47"/>
        <v>104443.16262712923</v>
      </c>
      <c r="L164" s="36">
        <f t="shared" si="47"/>
        <v>31167.936568373752</v>
      </c>
      <c r="M164" s="36">
        <f t="shared" si="47"/>
        <v>21941.840884839217</v>
      </c>
      <c r="N164" s="36">
        <f t="shared" si="47"/>
        <v>2012850.5387471328</v>
      </c>
      <c r="O164" s="36">
        <f>SUM(O17:O163)</f>
        <v>2464966.9625078202</v>
      </c>
      <c r="P164" s="37">
        <f>SUM(P11:P163)</f>
        <v>22.46461540250602</v>
      </c>
    </row>
    <row r="165" spans="2:16" s="35" customFormat="1" x14ac:dyDescent="0.25">
      <c r="B165" s="102" t="s">
        <v>388</v>
      </c>
      <c r="C165" s="102"/>
      <c r="D165" s="102"/>
      <c r="E165" s="102"/>
      <c r="F165" s="102"/>
      <c r="G165" s="102"/>
      <c r="H165" s="102"/>
      <c r="I165" s="102"/>
      <c r="J165" s="102"/>
      <c r="K165" s="102"/>
      <c r="L165" s="102"/>
      <c r="M165" s="110"/>
      <c r="N165" s="110"/>
      <c r="O165" s="49"/>
      <c r="P165" s="38"/>
    </row>
    <row r="166" spans="2:16" s="35" customFormat="1" x14ac:dyDescent="0.25">
      <c r="B166" s="102"/>
      <c r="C166" s="102"/>
      <c r="D166" s="102"/>
      <c r="E166" s="102"/>
      <c r="F166" s="102"/>
      <c r="G166" s="102"/>
      <c r="H166" s="102"/>
      <c r="I166" s="102"/>
      <c r="J166" s="102"/>
      <c r="K166" s="102"/>
      <c r="L166" s="102"/>
      <c r="M166" s="111"/>
      <c r="N166" s="111"/>
      <c r="O166" s="93"/>
      <c r="P166" s="39"/>
    </row>
    <row r="167" spans="2:16" s="35" customFormat="1" ht="13.9" customHeight="1" x14ac:dyDescent="0.25">
      <c r="B167" s="21"/>
      <c r="C167" s="22" t="s">
        <v>20</v>
      </c>
      <c r="D167" s="105" t="s">
        <v>21</v>
      </c>
      <c r="E167" s="105"/>
      <c r="F167" s="105"/>
      <c r="G167" s="105"/>
      <c r="H167" s="105"/>
      <c r="I167" s="105"/>
      <c r="J167" s="105"/>
      <c r="K167" s="105"/>
      <c r="L167" s="105"/>
      <c r="M167" s="105"/>
      <c r="N167" s="105"/>
      <c r="O167" s="105"/>
      <c r="P167" s="105"/>
    </row>
    <row r="168" spans="2:16" s="35" customFormat="1" ht="14.25" x14ac:dyDescent="0.2">
      <c r="B168" s="32"/>
      <c r="C168" s="33" t="s">
        <v>389</v>
      </c>
      <c r="D168" s="106" t="s">
        <v>390</v>
      </c>
      <c r="E168" s="106"/>
      <c r="F168" s="106"/>
      <c r="G168" s="106"/>
      <c r="H168" s="106"/>
      <c r="I168" s="106"/>
      <c r="J168" s="106"/>
      <c r="K168" s="106"/>
      <c r="L168" s="106"/>
      <c r="M168" s="106"/>
      <c r="N168" s="106"/>
      <c r="O168" s="106"/>
      <c r="P168" s="106"/>
    </row>
    <row r="169" spans="2:16" s="35" customFormat="1" ht="45" x14ac:dyDescent="0.25">
      <c r="B169" s="23">
        <v>91</v>
      </c>
      <c r="C169" s="24" t="s">
        <v>391</v>
      </c>
      <c r="D169" s="25" t="s">
        <v>392</v>
      </c>
      <c r="E169" s="25" t="s">
        <v>393</v>
      </c>
      <c r="F169" s="26">
        <v>0.62580000000000002</v>
      </c>
      <c r="G169" s="27">
        <v>1</v>
      </c>
      <c r="H169" s="28">
        <f>F169 * G169 * 2226.8455</f>
        <v>1393.5599139000001</v>
      </c>
      <c r="I169" s="28">
        <f>F169 * G169 * 13729.122755</f>
        <v>8591.6850200790013</v>
      </c>
      <c r="J169" s="28">
        <f>F169 * G169 * 0</f>
        <v>0</v>
      </c>
      <c r="K169" s="28">
        <f>F169 * G169 * 2119.956916</f>
        <v>1326.6690380328</v>
      </c>
      <c r="L169" s="28">
        <f>F169 * G169 * 1897.972143</f>
        <v>1187.7509670894001</v>
      </c>
      <c r="M169" s="28">
        <f>F169 * G169 * 445.3691</f>
        <v>278.71198278000003</v>
      </c>
      <c r="N169" s="29">
        <f>SUM(H169:M169)</f>
        <v>12778.376921881201</v>
      </c>
      <c r="O169" s="92">
        <f t="shared" ref="O169:O173" si="48">N169*1.07*1.09*1.05</f>
        <v>15648.592054189548</v>
      </c>
      <c r="P169" s="30">
        <f t="shared" ref="P169:P173" si="49">IF($P$10&gt;0,O169/$P$10/12,0)</f>
        <v>0.14005470280841253</v>
      </c>
    </row>
    <row r="170" spans="2:16" s="35" customFormat="1" x14ac:dyDescent="0.25">
      <c r="B170" s="23">
        <v>92</v>
      </c>
      <c r="C170" s="24" t="s">
        <v>394</v>
      </c>
      <c r="D170" s="25" t="s">
        <v>395</v>
      </c>
      <c r="E170" s="25" t="s">
        <v>36</v>
      </c>
      <c r="F170" s="26">
        <v>0.24</v>
      </c>
      <c r="G170" s="27">
        <v>1</v>
      </c>
      <c r="H170" s="28">
        <f>F170 * G170 * 1437.32755</f>
        <v>344.95861199999996</v>
      </c>
      <c r="I170" s="28">
        <f>F170 * G170 * 3181.4928</f>
        <v>763.55827199999999</v>
      </c>
      <c r="J170" s="28">
        <f>F170 * G170 * 0</f>
        <v>0</v>
      </c>
      <c r="K170" s="28">
        <f>F170 * G170 * 1368.335828</f>
        <v>328.40059872</v>
      </c>
      <c r="L170" s="28">
        <f>F170 * G170 * 628.651399</f>
        <v>150.87633575999999</v>
      </c>
      <c r="M170" s="28">
        <f>F170 * G170 * 287.46551</f>
        <v>68.9917224</v>
      </c>
      <c r="N170" s="29">
        <f>SUM(H170:M170)</f>
        <v>1656.7855408800001</v>
      </c>
      <c r="O170" s="92">
        <f t="shared" si="48"/>
        <v>2028.9244251447617</v>
      </c>
      <c r="P170" s="30">
        <f t="shared" si="49"/>
        <v>1.8158848182658161E-2</v>
      </c>
    </row>
    <row r="171" spans="2:16" s="35" customFormat="1" x14ac:dyDescent="0.25">
      <c r="B171" s="23">
        <v>93</v>
      </c>
      <c r="C171" s="24" t="s">
        <v>396</v>
      </c>
      <c r="D171" s="25" t="s">
        <v>397</v>
      </c>
      <c r="E171" s="25" t="s">
        <v>36</v>
      </c>
      <c r="F171" s="26">
        <v>0.02</v>
      </c>
      <c r="G171" s="27">
        <v>1</v>
      </c>
      <c r="H171" s="28">
        <f>F171 * G171 * 5181.5723</f>
        <v>103.631446</v>
      </c>
      <c r="I171" s="28">
        <f>F171 * G171 * 4325.616</f>
        <v>86.512320000000003</v>
      </c>
      <c r="J171" s="28">
        <f>F171 * G171 * 0</f>
        <v>0</v>
      </c>
      <c r="K171" s="28">
        <f>F171 * G171 * 4932.85683</f>
        <v>98.657136600000001</v>
      </c>
      <c r="L171" s="28">
        <f>F171 * G171 * 1516.204739</f>
        <v>30.324094779999999</v>
      </c>
      <c r="M171" s="28">
        <f>F171 * G171 * 1036.31446</f>
        <v>20.7262892</v>
      </c>
      <c r="N171" s="29">
        <f>SUM(H171:M171)</f>
        <v>339.85128657999996</v>
      </c>
      <c r="O171" s="92">
        <f t="shared" si="48"/>
        <v>416.18698331516669</v>
      </c>
      <c r="P171" s="30">
        <f t="shared" si="49"/>
        <v>3.7248682858551413E-3</v>
      </c>
    </row>
    <row r="172" spans="2:16" s="35" customFormat="1" x14ac:dyDescent="0.25">
      <c r="B172" s="23">
        <v>94</v>
      </c>
      <c r="C172" s="24" t="s">
        <v>398</v>
      </c>
      <c r="D172" s="25" t="s">
        <v>399</v>
      </c>
      <c r="E172" s="25" t="s">
        <v>36</v>
      </c>
      <c r="F172" s="26">
        <v>0.12</v>
      </c>
      <c r="G172" s="27">
        <v>1</v>
      </c>
      <c r="H172" s="28">
        <f>F172 * G172 * 7246.68516</f>
        <v>869.60221919999992</v>
      </c>
      <c r="I172" s="28">
        <f>F172 * G172 * 4305.528</f>
        <v>516.66336000000001</v>
      </c>
      <c r="J172" s="28">
        <f>F172 * G172 * 0</f>
        <v>0</v>
      </c>
      <c r="K172" s="28">
        <f>F172 * G172 * 6898.844272</f>
        <v>827.86131264000005</v>
      </c>
      <c r="L172" s="28">
        <f>F172 * G172 * 1937.36103</f>
        <v>232.48332360000001</v>
      </c>
      <c r="M172" s="28">
        <f>F172 * G172 * 1449.337032</f>
        <v>173.92044383999999</v>
      </c>
      <c r="N172" s="29">
        <f>SUM(H172:M172)</f>
        <v>2620.5306592800002</v>
      </c>
      <c r="O172" s="92">
        <f t="shared" si="48"/>
        <v>3209.1411533141782</v>
      </c>
      <c r="P172" s="30">
        <f t="shared" si="49"/>
        <v>2.8721773111679536E-2</v>
      </c>
    </row>
    <row r="173" spans="2:16" s="35" customFormat="1" ht="45" x14ac:dyDescent="0.25">
      <c r="B173" s="23">
        <v>95</v>
      </c>
      <c r="C173" s="24" t="s">
        <v>400</v>
      </c>
      <c r="D173" s="25" t="s">
        <v>401</v>
      </c>
      <c r="E173" s="25" t="s">
        <v>402</v>
      </c>
      <c r="F173" s="26">
        <v>0.14330000000000001</v>
      </c>
      <c r="G173" s="27">
        <v>1</v>
      </c>
      <c r="H173" s="28">
        <f>F173 * G173 * 3036.6075</f>
        <v>435.14585475000007</v>
      </c>
      <c r="I173" s="28">
        <f>F173 * G173 * 21610.5761</f>
        <v>3096.7955551300001</v>
      </c>
      <c r="J173" s="28">
        <f>F173 * G173 * 0</f>
        <v>0</v>
      </c>
      <c r="K173" s="28">
        <f>F173 * G173 * 2890.85034</f>
        <v>414.25885372200003</v>
      </c>
      <c r="L173" s="28">
        <f>F173 * G173 * 2891.493564</f>
        <v>414.35102772120001</v>
      </c>
      <c r="M173" s="28">
        <f>F173 * G173 * 607.3215</f>
        <v>87.029170950000008</v>
      </c>
      <c r="N173" s="29">
        <f>SUM(H173:M173)</f>
        <v>4447.5804622732003</v>
      </c>
      <c r="O173" s="92">
        <f t="shared" si="48"/>
        <v>5446.5737478066958</v>
      </c>
      <c r="P173" s="30">
        <f t="shared" si="49"/>
        <v>4.8746766797396417E-2</v>
      </c>
    </row>
    <row r="174" spans="2:16" s="35" customFormat="1" ht="13.9" customHeight="1" x14ac:dyDescent="0.25">
      <c r="B174" s="21"/>
      <c r="C174" s="22" t="s">
        <v>403</v>
      </c>
      <c r="D174" s="105" t="s">
        <v>404</v>
      </c>
      <c r="E174" s="105"/>
      <c r="F174" s="105"/>
      <c r="G174" s="105"/>
      <c r="H174" s="105"/>
      <c r="I174" s="105"/>
      <c r="J174" s="105"/>
      <c r="K174" s="105"/>
      <c r="L174" s="105"/>
      <c r="M174" s="105"/>
      <c r="N174" s="105"/>
      <c r="O174" s="105"/>
      <c r="P174" s="105"/>
    </row>
    <row r="175" spans="2:16" s="35" customFormat="1" ht="14.25" x14ac:dyDescent="0.2">
      <c r="B175" s="32"/>
      <c r="C175" s="33" t="s">
        <v>405</v>
      </c>
      <c r="D175" s="106" t="s">
        <v>406</v>
      </c>
      <c r="E175" s="106"/>
      <c r="F175" s="106"/>
      <c r="G175" s="106"/>
      <c r="H175" s="106"/>
      <c r="I175" s="106"/>
      <c r="J175" s="106"/>
      <c r="K175" s="106"/>
      <c r="L175" s="106"/>
      <c r="M175" s="106"/>
      <c r="N175" s="106"/>
      <c r="O175" s="106"/>
      <c r="P175" s="106"/>
    </row>
    <row r="176" spans="2:16" s="35" customFormat="1" ht="30" x14ac:dyDescent="0.25">
      <c r="B176" s="23">
        <v>96</v>
      </c>
      <c r="C176" s="24" t="s">
        <v>407</v>
      </c>
      <c r="D176" s="25" t="s">
        <v>408</v>
      </c>
      <c r="E176" s="25" t="s">
        <v>409</v>
      </c>
      <c r="F176" s="26">
        <v>5</v>
      </c>
      <c r="G176" s="27">
        <v>0.2</v>
      </c>
      <c r="H176" s="28">
        <f>F176 * G176 * 241.723672</f>
        <v>241.72367199999999</v>
      </c>
      <c r="I176" s="28">
        <f>F176 * G176 * 1593.4248</f>
        <v>1593.4248</v>
      </c>
      <c r="J176" s="28">
        <f>F176 * G176 * 0</f>
        <v>0</v>
      </c>
      <c r="K176" s="28">
        <f>F176 * G176 * 230.120936</f>
        <v>230.120936</v>
      </c>
      <c r="L176" s="28">
        <f>F176 * G176 * 216.853288</f>
        <v>216.85328799999999</v>
      </c>
      <c r="M176" s="28">
        <f>F176 * G176 * 48.344734</f>
        <v>48.344734000000003</v>
      </c>
      <c r="N176" s="29">
        <f>SUM(H176:M176)</f>
        <v>2330.4674299999997</v>
      </c>
      <c r="O176" s="92">
        <f t="shared" ref="O176:O180" si="50">N176*1.07*1.09*1.05</f>
        <v>2853.9253717894503</v>
      </c>
      <c r="P176" s="30">
        <f t="shared" ref="P176:P180" si="51">IF($P$10&gt;0,O176/$P$10/12,0)</f>
        <v>2.5542596317880736E-2</v>
      </c>
    </row>
    <row r="177" spans="2:16" s="35" customFormat="1" x14ac:dyDescent="0.25">
      <c r="B177" s="23">
        <v>97</v>
      </c>
      <c r="C177" s="24" t="s">
        <v>410</v>
      </c>
      <c r="D177" s="25" t="s">
        <v>411</v>
      </c>
      <c r="E177" s="25" t="s">
        <v>412</v>
      </c>
      <c r="F177" s="26">
        <v>6</v>
      </c>
      <c r="G177" s="27">
        <v>1</v>
      </c>
      <c r="H177" s="28">
        <f>F177 * G177 * 16.19524</f>
        <v>97.17143999999999</v>
      </c>
      <c r="I177" s="28">
        <f>F177 * G177 * 971.66772</f>
        <v>5830.0063200000004</v>
      </c>
      <c r="J177" s="28">
        <f>F177 * G177 * 0</f>
        <v>0</v>
      </c>
      <c r="K177" s="28">
        <f>F177 * G177 * 15.417868</f>
        <v>92.507208000000006</v>
      </c>
      <c r="L177" s="28">
        <f>F177 * G177 * 105.344487</f>
        <v>632.06692199999998</v>
      </c>
      <c r="M177" s="28">
        <f>F177 * G177 * 3.239048</f>
        <v>19.434287999999999</v>
      </c>
      <c r="N177" s="29">
        <f>SUM(H177:M177)</f>
        <v>6671.1861780000008</v>
      </c>
      <c r="O177" s="92">
        <f t="shared" si="50"/>
        <v>8169.6346613714732</v>
      </c>
      <c r="P177" s="30">
        <f t="shared" si="51"/>
        <v>7.3118127853895695E-2</v>
      </c>
    </row>
    <row r="178" spans="2:16" s="35" customFormat="1" x14ac:dyDescent="0.25">
      <c r="B178" s="23">
        <v>98</v>
      </c>
      <c r="C178" s="24" t="s">
        <v>413</v>
      </c>
      <c r="D178" s="25" t="s">
        <v>414</v>
      </c>
      <c r="E178" s="25" t="s">
        <v>415</v>
      </c>
      <c r="F178" s="26">
        <v>1</v>
      </c>
      <c r="G178" s="27">
        <v>0.2</v>
      </c>
      <c r="H178" s="28">
        <f>F178 * G178 * 89.07382</f>
        <v>17.814764</v>
      </c>
      <c r="I178" s="28">
        <f>F178 * G178 * 133.00488</f>
        <v>26.600976000000003</v>
      </c>
      <c r="J178" s="28">
        <f>F178 * G178 * 0</f>
        <v>0</v>
      </c>
      <c r="K178" s="28">
        <f>F178 * G178 * 84.798277</f>
        <v>16.959655399999999</v>
      </c>
      <c r="L178" s="28">
        <f>F178 * G178 * 32.222083</f>
        <v>6.4444166000000003</v>
      </c>
      <c r="M178" s="28">
        <f>F178 * G178 * 17.814764</f>
        <v>3.5629528000000001</v>
      </c>
      <c r="N178" s="29">
        <f>SUM(H178:M178)</f>
        <v>71.382764800000004</v>
      </c>
      <c r="O178" s="92">
        <f t="shared" si="50"/>
        <v>87.416404515552017</v>
      </c>
      <c r="P178" s="30">
        <f t="shared" si="51"/>
        <v>7.8237572508817546E-4</v>
      </c>
    </row>
    <row r="179" spans="2:16" s="35" customFormat="1" x14ac:dyDescent="0.25">
      <c r="B179" s="23">
        <v>99</v>
      </c>
      <c r="C179" s="24" t="s">
        <v>416</v>
      </c>
      <c r="D179" s="25" t="s">
        <v>417</v>
      </c>
      <c r="E179" s="25" t="s">
        <v>418</v>
      </c>
      <c r="F179" s="26">
        <v>1</v>
      </c>
      <c r="G179" s="27">
        <v>0.2</v>
      </c>
      <c r="H179" s="28">
        <f>F179 * G179 * 141.70835</f>
        <v>28.341670000000001</v>
      </c>
      <c r="I179" s="28">
        <f>F179 * G179 * 3353.73624</f>
        <v>670.74724800000013</v>
      </c>
      <c r="J179" s="28">
        <f>F179 * G179 * 0</f>
        <v>0</v>
      </c>
      <c r="K179" s="28">
        <f>F179 * G179 * 134.90635</f>
        <v>26.981270000000002</v>
      </c>
      <c r="L179" s="28">
        <f>F179 * G179 * 381.186849</f>
        <v>76.237369799999996</v>
      </c>
      <c r="M179" s="28">
        <f>F179 * G179 * 28.34167</f>
        <v>5.6683340000000006</v>
      </c>
      <c r="N179" s="29">
        <f>SUM(H179:M179)</f>
        <v>807.97589180000011</v>
      </c>
      <c r="O179" s="92">
        <f t="shared" si="50"/>
        <v>989.45939673665737</v>
      </c>
      <c r="P179" s="30">
        <f t="shared" si="51"/>
        <v>8.8556492028841992E-3</v>
      </c>
    </row>
    <row r="180" spans="2:16" s="35" customFormat="1" ht="30" x14ac:dyDescent="0.25">
      <c r="B180" s="23">
        <v>100</v>
      </c>
      <c r="C180" s="24" t="s">
        <v>419</v>
      </c>
      <c r="D180" s="25" t="s">
        <v>420</v>
      </c>
      <c r="E180" s="25" t="s">
        <v>421</v>
      </c>
      <c r="F180" s="26">
        <v>1</v>
      </c>
      <c r="G180" s="27">
        <v>1</v>
      </c>
      <c r="H180" s="28">
        <f>F180 * G180 * 214.58693</f>
        <v>214.58693</v>
      </c>
      <c r="I180" s="28">
        <f>F180 * G180 * 108.405949</f>
        <v>108.40594900000001</v>
      </c>
      <c r="J180" s="28">
        <f>F180 * G180 * 0</f>
        <v>0</v>
      </c>
      <c r="K180" s="28">
        <f>F180 * G180 * 204.286757</f>
        <v>204.28675699999999</v>
      </c>
      <c r="L180" s="28">
        <f>F180 * G180 * 55.364362</f>
        <v>55.364362</v>
      </c>
      <c r="M180" s="28">
        <f>F180 * G180 * 42.917386</f>
        <v>42.917386</v>
      </c>
      <c r="N180" s="29">
        <f>SUM(H180:M180)</f>
        <v>625.56138399999998</v>
      </c>
      <c r="O180" s="92">
        <f t="shared" si="50"/>
        <v>766.07185426716012</v>
      </c>
      <c r="P180" s="30">
        <f t="shared" si="51"/>
        <v>6.8563334968241877E-3</v>
      </c>
    </row>
    <row r="181" spans="2:16" s="35" customFormat="1" ht="14.25" x14ac:dyDescent="0.2">
      <c r="B181" s="32"/>
      <c r="C181" s="33" t="s">
        <v>422</v>
      </c>
      <c r="D181" s="106" t="s">
        <v>423</v>
      </c>
      <c r="E181" s="106"/>
      <c r="F181" s="106"/>
      <c r="G181" s="106"/>
      <c r="H181" s="106"/>
      <c r="I181" s="106"/>
      <c r="J181" s="106"/>
      <c r="K181" s="106"/>
      <c r="L181" s="106"/>
      <c r="M181" s="106"/>
      <c r="N181" s="106"/>
      <c r="O181" s="106"/>
      <c r="P181" s="106"/>
    </row>
    <row r="182" spans="2:16" s="35" customFormat="1" x14ac:dyDescent="0.25">
      <c r="B182" s="23">
        <v>101</v>
      </c>
      <c r="C182" s="24" t="s">
        <v>424</v>
      </c>
      <c r="D182" s="25" t="s">
        <v>425</v>
      </c>
      <c r="E182" s="25" t="s">
        <v>426</v>
      </c>
      <c r="F182" s="26">
        <v>1</v>
      </c>
      <c r="G182" s="27">
        <v>0.2</v>
      </c>
      <c r="H182" s="28">
        <f>F182 * G182 * 212.562525</f>
        <v>42.512505000000004</v>
      </c>
      <c r="I182" s="28">
        <f>F182 * G182 * 13562.40204</f>
        <v>2712.4804080000004</v>
      </c>
      <c r="J182" s="28">
        <f>F182 * G182 * 0</f>
        <v>0</v>
      </c>
      <c r="K182" s="28">
        <f>F182 * G182 * 202.359524</f>
        <v>40.471904800000004</v>
      </c>
      <c r="L182" s="28">
        <f>F182 * G182 * 1467.619029</f>
        <v>293.52380579999999</v>
      </c>
      <c r="M182" s="28">
        <f>F182 * G182 * 42.512505</f>
        <v>8.5025010000000005</v>
      </c>
      <c r="N182" s="29">
        <f>SUM(H182:M182)</f>
        <v>3097.4911246000006</v>
      </c>
      <c r="O182" s="92">
        <f t="shared" ref="O182:O183" si="52">N182*1.07*1.09*1.05</f>
        <v>3793.2340935520306</v>
      </c>
      <c r="P182" s="30">
        <f t="shared" ref="P182:P183" si="53">IF($P$10&gt;0,O182/$P$10/12,0)</f>
        <v>3.3949397608134022E-2</v>
      </c>
    </row>
    <row r="183" spans="2:16" s="35" customFormat="1" x14ac:dyDescent="0.25">
      <c r="B183" s="23">
        <v>102</v>
      </c>
      <c r="C183" s="24" t="s">
        <v>427</v>
      </c>
      <c r="D183" s="25" t="s">
        <v>428</v>
      </c>
      <c r="E183" s="25" t="s">
        <v>429</v>
      </c>
      <c r="F183" s="26">
        <v>10</v>
      </c>
      <c r="G183" s="27">
        <v>1</v>
      </c>
      <c r="H183" s="28">
        <f>F183 * G183 * 241.723672</f>
        <v>2417.2367199999999</v>
      </c>
      <c r="I183" s="28">
        <f>F183 * G183 * 1593.4248</f>
        <v>15934.248</v>
      </c>
      <c r="J183" s="28">
        <f>F183 * G183 * 0</f>
        <v>0</v>
      </c>
      <c r="K183" s="28">
        <f>F183 * G183 * 230.120936</f>
        <v>2301.2093599999998</v>
      </c>
      <c r="L183" s="28">
        <f>F183 * G183 * 216.853288</f>
        <v>2168.5328799999997</v>
      </c>
      <c r="M183" s="28">
        <f>F183 * G183 * 48.344734</f>
        <v>483.44734000000005</v>
      </c>
      <c r="N183" s="29">
        <f>SUM(H183:M183)</f>
        <v>23304.674299999999</v>
      </c>
      <c r="O183" s="92">
        <f t="shared" si="52"/>
        <v>28539.253717894502</v>
      </c>
      <c r="P183" s="30">
        <f t="shared" si="53"/>
        <v>0.25542596317880734</v>
      </c>
    </row>
    <row r="184" spans="2:16" s="35" customFormat="1" ht="14.25" x14ac:dyDescent="0.2">
      <c r="B184" s="32"/>
      <c r="C184" s="33" t="s">
        <v>430</v>
      </c>
      <c r="D184" s="106" t="s">
        <v>431</v>
      </c>
      <c r="E184" s="106"/>
      <c r="F184" s="106"/>
      <c r="G184" s="106"/>
      <c r="H184" s="106"/>
      <c r="I184" s="106"/>
      <c r="J184" s="106"/>
      <c r="K184" s="106"/>
      <c r="L184" s="106"/>
      <c r="M184" s="106"/>
      <c r="N184" s="106"/>
      <c r="O184" s="106"/>
      <c r="P184" s="106"/>
    </row>
    <row r="185" spans="2:16" s="35" customFormat="1" x14ac:dyDescent="0.25">
      <c r="B185" s="23">
        <v>103</v>
      </c>
      <c r="C185" s="24" t="s">
        <v>432</v>
      </c>
      <c r="D185" s="25" t="s">
        <v>433</v>
      </c>
      <c r="E185" s="25" t="s">
        <v>434</v>
      </c>
      <c r="F185" s="26">
        <v>1</v>
      </c>
      <c r="G185" s="27">
        <v>0.2</v>
      </c>
      <c r="H185" s="28">
        <f>F185 * G185 * 129.56192</f>
        <v>25.912383999999999</v>
      </c>
      <c r="I185" s="28">
        <f>F185 * G185 * 5348.51928</f>
        <v>1069.7038560000001</v>
      </c>
      <c r="J185" s="28">
        <f>F185 * G185 * 0</f>
        <v>0</v>
      </c>
      <c r="K185" s="28">
        <f>F185 * G185 * 123.342948</f>
        <v>24.668589600000004</v>
      </c>
      <c r="L185" s="28">
        <f>F185 * G185 * 588.149536</f>
        <v>117.62990720000001</v>
      </c>
      <c r="M185" s="28">
        <f>F185 * G185 * 25.912384</f>
        <v>5.1824767999999999</v>
      </c>
      <c r="N185" s="29">
        <f>SUM(H185:M185)</f>
        <v>1243.0972135999998</v>
      </c>
      <c r="O185" s="92">
        <f t="shared" ref="O185:O186" si="54">N185*1.07*1.09*1.05</f>
        <v>1522.315494232764</v>
      </c>
      <c r="P185" s="30">
        <f t="shared" ref="P185:P186" si="55">IF($P$10&gt;0,O185/$P$10/12,0)</f>
        <v>1.3624704598796798E-2</v>
      </c>
    </row>
    <row r="186" spans="2:16" s="35" customFormat="1" ht="30" x14ac:dyDescent="0.25">
      <c r="B186" s="23">
        <v>104</v>
      </c>
      <c r="C186" s="24" t="s">
        <v>435</v>
      </c>
      <c r="D186" s="25" t="s">
        <v>436</v>
      </c>
      <c r="E186" s="25" t="s">
        <v>437</v>
      </c>
      <c r="F186" s="26">
        <v>0.1075</v>
      </c>
      <c r="G186" s="27">
        <v>1</v>
      </c>
      <c r="H186" s="28">
        <f>F186 * G186 * 40488.1</f>
        <v>4352.4707499999995</v>
      </c>
      <c r="I186" s="28">
        <f>F186 * G186 * 74962.334626</f>
        <v>8058.4509722949997</v>
      </c>
      <c r="J186" s="28">
        <f>F186 * G186 * 0</f>
        <v>0</v>
      </c>
      <c r="K186" s="28">
        <f>F186 * G186 * 38544.6712</f>
        <v>4143.552154</v>
      </c>
      <c r="L186" s="28">
        <f>F186 * G186 * 16169.4861119999</f>
        <v>1738.2197570399892</v>
      </c>
      <c r="M186" s="28">
        <f>F186 * G186 * 8097.62</f>
        <v>870.49414999999999</v>
      </c>
      <c r="N186" s="29">
        <f>SUM(H186:M186)</f>
        <v>19163.187783334986</v>
      </c>
      <c r="O186" s="92">
        <f t="shared" si="54"/>
        <v>23467.527207288778</v>
      </c>
      <c r="P186" s="30">
        <f t="shared" si="55"/>
        <v>0.21003407445753033</v>
      </c>
    </row>
    <row r="187" spans="2:16" s="35" customFormat="1" ht="14.25" x14ac:dyDescent="0.2">
      <c r="B187" s="32"/>
      <c r="C187" s="33" t="s">
        <v>438</v>
      </c>
      <c r="D187" s="106" t="s">
        <v>439</v>
      </c>
      <c r="E187" s="106"/>
      <c r="F187" s="106"/>
      <c r="G187" s="106"/>
      <c r="H187" s="106"/>
      <c r="I187" s="106"/>
      <c r="J187" s="106"/>
      <c r="K187" s="106"/>
      <c r="L187" s="106"/>
      <c r="M187" s="106"/>
      <c r="N187" s="106"/>
      <c r="O187" s="106"/>
      <c r="P187" s="106"/>
    </row>
    <row r="188" spans="2:16" s="35" customFormat="1" x14ac:dyDescent="0.25">
      <c r="B188" s="23">
        <v>105</v>
      </c>
      <c r="C188" s="24" t="s">
        <v>440</v>
      </c>
      <c r="D188" s="25" t="s">
        <v>441</v>
      </c>
      <c r="E188" s="25" t="s">
        <v>442</v>
      </c>
      <c r="F188" s="26">
        <v>9</v>
      </c>
      <c r="G188" s="27">
        <v>1</v>
      </c>
      <c r="H188" s="28">
        <f>F188 * G188 * 275.929852</f>
        <v>2483.3686680000001</v>
      </c>
      <c r="I188" s="28">
        <f>F188 * G188 * 25.464927</f>
        <v>229.18434299999998</v>
      </c>
      <c r="J188" s="28">
        <f>F188 * G188 * 0</f>
        <v>0</v>
      </c>
      <c r="K188" s="28">
        <f>F188 * G188 * 262.685218999999</f>
        <v>2364.166970999991</v>
      </c>
      <c r="L188" s="28">
        <f>F188 * G188 * 59.2284</f>
        <v>533.05560000000003</v>
      </c>
      <c r="M188" s="28">
        <f>F188 * G188 * 55.18597</f>
        <v>496.67372999999998</v>
      </c>
      <c r="N188" s="29">
        <f>SUM(H188:M188)</f>
        <v>6106.4493119999916</v>
      </c>
      <c r="O188" s="92">
        <f>N188*1.07*1.09*1.05</f>
        <v>7478.0494242148716</v>
      </c>
      <c r="P188" s="30">
        <f>IF($P$10&gt;0,O188/$P$10/12,0)</f>
        <v>6.6928448646894997E-2</v>
      </c>
    </row>
    <row r="189" spans="2:16" s="35" customFormat="1" ht="14.25" x14ac:dyDescent="0.2">
      <c r="B189" s="32"/>
      <c r="C189" s="33" t="s">
        <v>443</v>
      </c>
      <c r="D189" s="106" t="s">
        <v>444</v>
      </c>
      <c r="E189" s="106"/>
      <c r="F189" s="106"/>
      <c r="G189" s="106"/>
      <c r="H189" s="106"/>
      <c r="I189" s="106"/>
      <c r="J189" s="106"/>
      <c r="K189" s="106"/>
      <c r="L189" s="106"/>
      <c r="M189" s="106"/>
      <c r="N189" s="106"/>
      <c r="O189" s="106"/>
      <c r="P189" s="106"/>
    </row>
    <row r="190" spans="2:16" s="35" customFormat="1" ht="30" x14ac:dyDescent="0.25">
      <c r="B190" s="23">
        <v>106</v>
      </c>
      <c r="C190" s="24" t="s">
        <v>445</v>
      </c>
      <c r="D190" s="25" t="s">
        <v>446</v>
      </c>
      <c r="E190" s="25" t="s">
        <v>447</v>
      </c>
      <c r="F190" s="26">
        <v>1.43</v>
      </c>
      <c r="G190" s="27">
        <v>2</v>
      </c>
      <c r="H190" s="28">
        <f>F190 * G190 * 1012.2025</f>
        <v>2894.8991499999997</v>
      </c>
      <c r="I190" s="28">
        <f>F190 * G190 * 0</f>
        <v>0</v>
      </c>
      <c r="J190" s="28">
        <f>F190 * G190 * 0</f>
        <v>0</v>
      </c>
      <c r="K190" s="28">
        <f>F190 * G190 * 963.61678</f>
        <v>2755.9439907999999</v>
      </c>
      <c r="L190" s="28">
        <f>F190 * G190 * 207.461024</f>
        <v>593.33852864000005</v>
      </c>
      <c r="M190" s="28">
        <f>F190 * G190 * 202.4405</f>
        <v>578.97982999999988</v>
      </c>
      <c r="N190" s="29">
        <f>SUM(H190:M190)</f>
        <v>6823.1614994399997</v>
      </c>
      <c r="O190" s="92">
        <f t="shared" ref="O190:O191" si="56">N190*1.07*1.09*1.05</f>
        <v>8355.7459196367181</v>
      </c>
      <c r="P190" s="30">
        <f t="shared" ref="P190:P191" si="57">IF($P$10&gt;0,O190/$P$10/12,0)</f>
        <v>7.4783821283398833E-2</v>
      </c>
    </row>
    <row r="191" spans="2:16" s="35" customFormat="1" ht="30" x14ac:dyDescent="0.25">
      <c r="B191" s="23">
        <v>107</v>
      </c>
      <c r="C191" s="24" t="s">
        <v>448</v>
      </c>
      <c r="D191" s="25" t="s">
        <v>449</v>
      </c>
      <c r="E191" s="25" t="s">
        <v>447</v>
      </c>
      <c r="F191" s="26">
        <v>0.03</v>
      </c>
      <c r="G191" s="27">
        <v>2</v>
      </c>
      <c r="H191" s="28">
        <f>F191 * G191 * 2429.286</f>
        <v>145.75716</v>
      </c>
      <c r="I191" s="28">
        <f>F191 * G191 * 0</f>
        <v>0</v>
      </c>
      <c r="J191" s="28">
        <f>F191 * G191 * 0</f>
        <v>0</v>
      </c>
      <c r="K191" s="28">
        <f>F191 * G191 * 2312.680272</f>
        <v>138.76081632</v>
      </c>
      <c r="L191" s="28">
        <f>F191 * G191 * 497.906458</f>
        <v>29.874387479999999</v>
      </c>
      <c r="M191" s="28">
        <f>F191 * G191 * 485.8572</f>
        <v>29.151431999999996</v>
      </c>
      <c r="N191" s="29">
        <f>SUM(H191:M191)</f>
        <v>343.5437958</v>
      </c>
      <c r="O191" s="92">
        <f t="shared" si="56"/>
        <v>420.70888549361706</v>
      </c>
      <c r="P191" s="30">
        <f t="shared" si="57"/>
        <v>3.7653392536929173E-3</v>
      </c>
    </row>
    <row r="192" spans="2:16" s="35" customFormat="1" ht="14.25" x14ac:dyDescent="0.2">
      <c r="B192" s="32"/>
      <c r="C192" s="33" t="s">
        <v>450</v>
      </c>
      <c r="D192" s="106" t="s">
        <v>451</v>
      </c>
      <c r="E192" s="106"/>
      <c r="F192" s="106"/>
      <c r="G192" s="106"/>
      <c r="H192" s="106"/>
      <c r="I192" s="106"/>
      <c r="J192" s="106"/>
      <c r="K192" s="106"/>
      <c r="L192" s="106"/>
      <c r="M192" s="106"/>
      <c r="N192" s="106"/>
      <c r="O192" s="106"/>
      <c r="P192" s="106"/>
    </row>
    <row r="193" spans="2:16" s="35" customFormat="1" x14ac:dyDescent="0.25">
      <c r="B193" s="23">
        <v>108</v>
      </c>
      <c r="C193" s="24" t="s">
        <v>452</v>
      </c>
      <c r="D193" s="25" t="s">
        <v>453</v>
      </c>
      <c r="E193" s="25" t="s">
        <v>454</v>
      </c>
      <c r="F193" s="26">
        <v>3</v>
      </c>
      <c r="G193" s="27">
        <v>1</v>
      </c>
      <c r="H193" s="28">
        <f>F193 * G193 * 38.463695</f>
        <v>115.391085</v>
      </c>
      <c r="I193" s="28">
        <f>F193 * G193 * 43.25616</f>
        <v>129.76848000000001</v>
      </c>
      <c r="J193" s="28">
        <f t="shared" ref="J193:J199" si="58">F193 * G193 * 0</f>
        <v>0</v>
      </c>
      <c r="K193" s="28">
        <f>F193 * G193 * 36.617438</f>
        <v>109.85231400000001</v>
      </c>
      <c r="L193" s="28">
        <f>F193 * G193 * 12.425415</f>
        <v>37.276244999999996</v>
      </c>
      <c r="M193" s="28">
        <f>F193 * G193 * 7.692739</f>
        <v>23.078217000000002</v>
      </c>
      <c r="N193" s="29">
        <f t="shared" ref="N193:N199" si="59">SUM(H193:M193)</f>
        <v>415.36634100000003</v>
      </c>
      <c r="O193" s="92">
        <f t="shared" ref="O193:O199" si="60">N193*1.07*1.09*1.05</f>
        <v>508.66385168371511</v>
      </c>
      <c r="P193" s="30">
        <f t="shared" ref="P193:P199" si="61">IF($P$10&gt;0,O193/$P$10/12,0)</f>
        <v>4.5525350990201115E-3</v>
      </c>
    </row>
    <row r="194" spans="2:16" s="35" customFormat="1" ht="30" x14ac:dyDescent="0.25">
      <c r="B194" s="23">
        <v>109</v>
      </c>
      <c r="C194" s="24" t="s">
        <v>455</v>
      </c>
      <c r="D194" s="25" t="s">
        <v>456</v>
      </c>
      <c r="E194" s="25" t="s">
        <v>457</v>
      </c>
      <c r="F194" s="26">
        <v>7</v>
      </c>
      <c r="G194" s="27">
        <v>1</v>
      </c>
      <c r="H194" s="28">
        <f>F194 * G194 * 203.184709</f>
        <v>1422.2929629999999</v>
      </c>
      <c r="I194" s="28">
        <f>F194 * G194 * 429.856304</f>
        <v>3008.9941280000003</v>
      </c>
      <c r="J194" s="28">
        <f t="shared" si="58"/>
        <v>0</v>
      </c>
      <c r="K194" s="28">
        <f>F194 * G194 * 193.431843</f>
        <v>1354.0229009999998</v>
      </c>
      <c r="L194" s="28">
        <f>F194 * G194 * 86.7796499999999</f>
        <v>607.45754999999929</v>
      </c>
      <c r="M194" s="28">
        <f>F194 * G194 * 40.636942</f>
        <v>284.45859400000001</v>
      </c>
      <c r="N194" s="29">
        <f t="shared" si="59"/>
        <v>6677.2261359999993</v>
      </c>
      <c r="O194" s="92">
        <f t="shared" si="60"/>
        <v>8177.0312845376402</v>
      </c>
      <c r="P194" s="30">
        <f t="shared" si="61"/>
        <v>7.318432753855332E-2</v>
      </c>
    </row>
    <row r="195" spans="2:16" s="35" customFormat="1" ht="30" x14ac:dyDescent="0.25">
      <c r="B195" s="23">
        <v>110</v>
      </c>
      <c r="C195" s="24" t="s">
        <v>458</v>
      </c>
      <c r="D195" s="25" t="s">
        <v>459</v>
      </c>
      <c r="E195" s="25" t="s">
        <v>457</v>
      </c>
      <c r="F195" s="26">
        <v>2</v>
      </c>
      <c r="G195" s="27">
        <v>1</v>
      </c>
      <c r="H195" s="28">
        <f>F195 * G195 * 32.39048</f>
        <v>64.780959999999993</v>
      </c>
      <c r="I195" s="28">
        <f>F195 * G195 * 43.05528</f>
        <v>86.110560000000007</v>
      </c>
      <c r="J195" s="28">
        <f t="shared" si="58"/>
        <v>0</v>
      </c>
      <c r="K195" s="28">
        <f>F195 * G195 * 30.835737</f>
        <v>61.671474000000003</v>
      </c>
      <c r="L195" s="28">
        <f>F195 * G195 * 11.159557</f>
        <v>22.319113999999999</v>
      </c>
      <c r="M195" s="28">
        <f>F195 * G195 * 6.478096</f>
        <v>12.956192</v>
      </c>
      <c r="N195" s="29">
        <f t="shared" si="59"/>
        <v>247.8383</v>
      </c>
      <c r="O195" s="92">
        <f t="shared" si="60"/>
        <v>303.5064997545</v>
      </c>
      <c r="P195" s="30">
        <f t="shared" si="61"/>
        <v>2.7163793698716573E-3</v>
      </c>
    </row>
    <row r="196" spans="2:16" s="35" customFormat="1" ht="30" x14ac:dyDescent="0.25">
      <c r="B196" s="23">
        <v>111</v>
      </c>
      <c r="C196" s="24" t="s">
        <v>460</v>
      </c>
      <c r="D196" s="25" t="s">
        <v>461</v>
      </c>
      <c r="E196" s="25" t="s">
        <v>462</v>
      </c>
      <c r="F196" s="26">
        <v>9</v>
      </c>
      <c r="G196" s="27">
        <v>1</v>
      </c>
      <c r="H196" s="28">
        <f>F196 * G196 * 19.231848</f>
        <v>173.08663200000001</v>
      </c>
      <c r="I196" s="28">
        <f>F196 * G196 * 138.06036</f>
        <v>1242.54324</v>
      </c>
      <c r="J196" s="28">
        <f t="shared" si="58"/>
        <v>0</v>
      </c>
      <c r="K196" s="28">
        <f>F196 * G196 * 18.308719</f>
        <v>164.778471</v>
      </c>
      <c r="L196" s="28">
        <f>F196 * G196 * 18.438098</f>
        <v>165.942882</v>
      </c>
      <c r="M196" s="28">
        <f>F196 * G196 * 3.84637</f>
        <v>34.617329999999995</v>
      </c>
      <c r="N196" s="29">
        <f t="shared" si="59"/>
        <v>1780.9685550000002</v>
      </c>
      <c r="O196" s="92">
        <f t="shared" si="60"/>
        <v>2181.0008069813252</v>
      </c>
      <c r="P196" s="30">
        <f t="shared" si="61"/>
        <v>1.9519929894581008E-2</v>
      </c>
    </row>
    <row r="197" spans="2:16" s="35" customFormat="1" ht="30" x14ac:dyDescent="0.25">
      <c r="B197" s="23">
        <v>112</v>
      </c>
      <c r="C197" s="24" t="s">
        <v>463</v>
      </c>
      <c r="D197" s="25" t="s">
        <v>464</v>
      </c>
      <c r="E197" s="25" t="s">
        <v>457</v>
      </c>
      <c r="F197" s="26">
        <v>1</v>
      </c>
      <c r="G197" s="27">
        <v>1</v>
      </c>
      <c r="H197" s="28">
        <f>F197 * G197 * 372.39128</f>
        <v>372.39127999999999</v>
      </c>
      <c r="I197" s="28">
        <f>F197 * G197 * 776.852577</f>
        <v>776.852577</v>
      </c>
      <c r="J197" s="28">
        <f t="shared" si="58"/>
        <v>0</v>
      </c>
      <c r="K197" s="28">
        <f>F197 * G197 * 354.516498999999</f>
        <v>354.51649899999899</v>
      </c>
      <c r="L197" s="28">
        <f>F197 * G197 * 157.894838</f>
        <v>157.89483799999999</v>
      </c>
      <c r="M197" s="28">
        <f>F197 * G197 * 74.478256</f>
        <v>74.478256000000002</v>
      </c>
      <c r="N197" s="29">
        <f t="shared" si="59"/>
        <v>1736.1334499999989</v>
      </c>
      <c r="O197" s="92">
        <f t="shared" si="60"/>
        <v>2126.0950648717494</v>
      </c>
      <c r="P197" s="30">
        <f t="shared" si="61"/>
        <v>1.9028524190668288E-2</v>
      </c>
    </row>
    <row r="198" spans="2:16" s="35" customFormat="1" x14ac:dyDescent="0.25">
      <c r="B198" s="23">
        <v>113</v>
      </c>
      <c r="C198" s="24" t="s">
        <v>465</v>
      </c>
      <c r="D198" s="25" t="s">
        <v>466</v>
      </c>
      <c r="E198" s="25" t="s">
        <v>457</v>
      </c>
      <c r="F198" s="26">
        <v>5</v>
      </c>
      <c r="G198" s="27">
        <v>1</v>
      </c>
      <c r="H198" s="28">
        <f>F198 * G198 * 372.39128</f>
        <v>1861.9564</v>
      </c>
      <c r="I198" s="28">
        <f>F198 * G198 * 1564.302177</f>
        <v>7821.5108849999997</v>
      </c>
      <c r="J198" s="28">
        <f t="shared" si="58"/>
        <v>0</v>
      </c>
      <c r="K198" s="28">
        <f>F198 * G198 * 354.516498999999</f>
        <v>1772.5824949999949</v>
      </c>
      <c r="L198" s="28">
        <f>F198 * G198 * 240.577046</f>
        <v>1202.8852299999999</v>
      </c>
      <c r="M198" s="28">
        <f>F198 * G198 * 74.478256</f>
        <v>372.39127999999999</v>
      </c>
      <c r="N198" s="29">
        <f t="shared" si="59"/>
        <v>13031.326289999994</v>
      </c>
      <c r="O198" s="92">
        <f t="shared" si="60"/>
        <v>15958.357644628344</v>
      </c>
      <c r="P198" s="30">
        <f t="shared" si="61"/>
        <v>0.14282710096148235</v>
      </c>
    </row>
    <row r="199" spans="2:16" s="35" customFormat="1" ht="30" x14ac:dyDescent="0.25">
      <c r="B199" s="23">
        <v>114</v>
      </c>
      <c r="C199" s="24" t="s">
        <v>467</v>
      </c>
      <c r="D199" s="25" t="s">
        <v>468</v>
      </c>
      <c r="E199" s="25" t="s">
        <v>469</v>
      </c>
      <c r="F199" s="26">
        <v>0.04</v>
      </c>
      <c r="G199" s="27">
        <v>1</v>
      </c>
      <c r="H199" s="28">
        <f>F199 * G199 * 14170.835</f>
        <v>566.83339999999998</v>
      </c>
      <c r="I199" s="28">
        <f>F199 * G199 * 82.747494</f>
        <v>3.3098997600000004</v>
      </c>
      <c r="J199" s="28">
        <f t="shared" si="58"/>
        <v>0</v>
      </c>
      <c r="K199" s="28">
        <f>F199 * G199 * 13490.63492</f>
        <v>539.62539679999998</v>
      </c>
      <c r="L199" s="28">
        <f>F199 * G199 * 2913.142828</f>
        <v>116.52571312000001</v>
      </c>
      <c r="M199" s="28">
        <f>F199 * G199 * 2834.167</f>
        <v>113.36668</v>
      </c>
      <c r="N199" s="29">
        <f t="shared" si="59"/>
        <v>1339.6610896800003</v>
      </c>
      <c r="O199" s="92">
        <f t="shared" si="60"/>
        <v>1640.5690653384738</v>
      </c>
      <c r="P199" s="30">
        <f t="shared" si="61"/>
        <v>1.4683072578477731E-2</v>
      </c>
    </row>
    <row r="200" spans="2:16" s="35" customFormat="1" ht="13.9" customHeight="1" x14ac:dyDescent="0.25">
      <c r="B200" s="21"/>
      <c r="C200" s="22" t="s">
        <v>327</v>
      </c>
      <c r="D200" s="105" t="s">
        <v>328</v>
      </c>
      <c r="E200" s="105"/>
      <c r="F200" s="105"/>
      <c r="G200" s="105"/>
      <c r="H200" s="105"/>
      <c r="I200" s="105"/>
      <c r="J200" s="105"/>
      <c r="K200" s="105"/>
      <c r="L200" s="105"/>
      <c r="M200" s="105"/>
      <c r="N200" s="105"/>
      <c r="O200" s="105"/>
      <c r="P200" s="105"/>
    </row>
    <row r="201" spans="2:16" s="35" customFormat="1" ht="14.25" x14ac:dyDescent="0.2">
      <c r="B201" s="32"/>
      <c r="C201" s="33" t="s">
        <v>470</v>
      </c>
      <c r="D201" s="106" t="s">
        <v>471</v>
      </c>
      <c r="E201" s="106"/>
      <c r="F201" s="106"/>
      <c r="G201" s="106"/>
      <c r="H201" s="106"/>
      <c r="I201" s="106"/>
      <c r="J201" s="106"/>
      <c r="K201" s="106"/>
      <c r="L201" s="106"/>
      <c r="M201" s="106"/>
      <c r="N201" s="106"/>
      <c r="O201" s="106"/>
      <c r="P201" s="106"/>
    </row>
    <row r="202" spans="2:16" s="35" customFormat="1" ht="30" x14ac:dyDescent="0.25">
      <c r="B202" s="23">
        <v>115</v>
      </c>
      <c r="C202" s="24" t="s">
        <v>472</v>
      </c>
      <c r="D202" s="25" t="s">
        <v>473</v>
      </c>
      <c r="E202" s="25" t="s">
        <v>474</v>
      </c>
      <c r="F202" s="26">
        <v>0.36</v>
      </c>
      <c r="G202" s="27">
        <v>2</v>
      </c>
      <c r="H202" s="28">
        <f>F202 * G202 * 2052.3708</f>
        <v>1477.7069759999999</v>
      </c>
      <c r="I202" s="28">
        <f>F202 * G202 * 0</f>
        <v>0</v>
      </c>
      <c r="J202" s="28">
        <f>F202 * G202 * 0</f>
        <v>0</v>
      </c>
      <c r="K202" s="28">
        <f>F202 * G202 * 1953.85700199999</f>
        <v>1406.7770414399927</v>
      </c>
      <c r="L202" s="28">
        <f>F202 * G202 * 420.653919</f>
        <v>302.87082167999995</v>
      </c>
      <c r="M202" s="28">
        <f>F202 * G202 * 410.47416</f>
        <v>295.54139519999995</v>
      </c>
      <c r="N202" s="29">
        <f>SUM(H202:M202)</f>
        <v>3482.8962343199923</v>
      </c>
      <c r="O202" s="92">
        <f t="shared" ref="O202:O205" si="62">N202*1.07*1.09*1.05</f>
        <v>4265.2069719917781</v>
      </c>
      <c r="P202" s="30">
        <f t="shared" ref="P202:P205" si="63">IF($P$10&gt;0,O202/$P$10/12,0)</f>
        <v>3.8173548956357876E-2</v>
      </c>
    </row>
    <row r="203" spans="2:16" s="35" customFormat="1" x14ac:dyDescent="0.25">
      <c r="B203" s="23">
        <v>116</v>
      </c>
      <c r="C203" s="24" t="s">
        <v>475</v>
      </c>
      <c r="D203" s="25" t="s">
        <v>476</v>
      </c>
      <c r="E203" s="25" t="s">
        <v>214</v>
      </c>
      <c r="F203" s="26">
        <v>4.7767999999999997</v>
      </c>
      <c r="G203" s="27">
        <v>2</v>
      </c>
      <c r="H203" s="28">
        <f>F203 * G203 * 1012.2025</f>
        <v>9670.177803999999</v>
      </c>
      <c r="I203" s="28">
        <f>F203 * G203 * 561.33684</f>
        <v>5362.787634624</v>
      </c>
      <c r="J203" s="28">
        <f>F203 * G203 * 0</f>
        <v>0</v>
      </c>
      <c r="K203" s="28">
        <f>F203 * G203 * 963.61678</f>
        <v>9206.0092694079995</v>
      </c>
      <c r="L203" s="28">
        <f>F203 * G203 * 266.401393</f>
        <v>2545.0923481647997</v>
      </c>
      <c r="M203" s="28">
        <f>F203 * G203 * 202.4405</f>
        <v>1934.0355607999998</v>
      </c>
      <c r="N203" s="29">
        <f>SUM(H203:M203)</f>
        <v>28718.102616996799</v>
      </c>
      <c r="O203" s="92">
        <f t="shared" si="62"/>
        <v>35168.619236313541</v>
      </c>
      <c r="P203" s="30">
        <f t="shared" si="63"/>
        <v>0.31475870150282409</v>
      </c>
    </row>
    <row r="204" spans="2:16" s="35" customFormat="1" x14ac:dyDescent="0.25">
      <c r="B204" s="23">
        <v>117</v>
      </c>
      <c r="C204" s="24" t="s">
        <v>477</v>
      </c>
      <c r="D204" s="25" t="s">
        <v>478</v>
      </c>
      <c r="E204" s="25" t="s">
        <v>214</v>
      </c>
      <c r="F204" s="26">
        <v>0.23880000000000001</v>
      </c>
      <c r="G204" s="27">
        <v>2</v>
      </c>
      <c r="H204" s="28">
        <f>F204 * G204 * 404.881</f>
        <v>193.37116559999998</v>
      </c>
      <c r="I204" s="28">
        <f>F204 * G204 * 0</f>
        <v>0</v>
      </c>
      <c r="J204" s="28">
        <f>F204 * G204 * 0</f>
        <v>0</v>
      </c>
      <c r="K204" s="28">
        <f>F204 * G204 * 385.446712</f>
        <v>184.0893496512</v>
      </c>
      <c r="L204" s="28">
        <f>F204 * G204 * 82.98441</f>
        <v>39.633354216000001</v>
      </c>
      <c r="M204" s="28">
        <f>F204 * G204 * 80.9762</f>
        <v>38.674233120000004</v>
      </c>
      <c r="N204" s="29">
        <f>SUM(H204:M204)</f>
        <v>455.76810258719996</v>
      </c>
      <c r="O204" s="92">
        <f t="shared" si="62"/>
        <v>558.14045494982395</v>
      </c>
      <c r="P204" s="30">
        <f t="shared" si="63"/>
        <v>4.9953500783108144E-3</v>
      </c>
    </row>
    <row r="205" spans="2:16" s="35" customFormat="1" x14ac:dyDescent="0.25">
      <c r="B205" s="23">
        <v>118</v>
      </c>
      <c r="C205" s="24" t="s">
        <v>479</v>
      </c>
      <c r="D205" s="25" t="s">
        <v>480</v>
      </c>
      <c r="E205" s="25" t="s">
        <v>481</v>
      </c>
      <c r="F205" s="26">
        <v>2</v>
      </c>
      <c r="G205" s="27">
        <v>2</v>
      </c>
      <c r="H205" s="28">
        <f>F205 * G205 * 57.770437</f>
        <v>231.081748</v>
      </c>
      <c r="I205" s="28">
        <f>F205 * G205 * 0</f>
        <v>0</v>
      </c>
      <c r="J205" s="28">
        <f>F205 * G205 * 0</f>
        <v>0</v>
      </c>
      <c r="K205" s="28">
        <f>F205 * G205 * 54.997456</f>
        <v>219.989824</v>
      </c>
      <c r="L205" s="28">
        <f>F205 * G205 * 11.840628</f>
        <v>47.362512000000002</v>
      </c>
      <c r="M205" s="28">
        <f>F205 * G205 * 11.554087</f>
        <v>46.216348000000004</v>
      </c>
      <c r="N205" s="29">
        <f>SUM(H205:M205)</f>
        <v>544.65043200000002</v>
      </c>
      <c r="O205" s="92">
        <f t="shared" si="62"/>
        <v>666.98708878368006</v>
      </c>
      <c r="P205" s="30">
        <f t="shared" si="63"/>
        <v>5.9695260872774146E-3</v>
      </c>
    </row>
    <row r="206" spans="2:16" s="35" customFormat="1" ht="13.9" customHeight="1" x14ac:dyDescent="0.25">
      <c r="B206" s="109" t="s">
        <v>387</v>
      </c>
      <c r="C206" s="109"/>
      <c r="D206" s="109"/>
      <c r="E206" s="109"/>
      <c r="F206" s="109"/>
      <c r="G206" s="109"/>
      <c r="H206" s="36">
        <f t="shared" ref="H206:P206" si="64">SUM(H167:H205)</f>
        <v>32257.764272449996</v>
      </c>
      <c r="I206" s="36">
        <f t="shared" si="64"/>
        <v>67720.344803888001</v>
      </c>
      <c r="J206" s="36">
        <f t="shared" si="64"/>
        <v>0</v>
      </c>
      <c r="K206" s="36">
        <f t="shared" si="64"/>
        <v>30709.391587933973</v>
      </c>
      <c r="L206" s="36">
        <f t="shared" si="64"/>
        <v>13722.187581691385</v>
      </c>
      <c r="M206" s="36">
        <f t="shared" si="64"/>
        <v>6451.5528498900003</v>
      </c>
      <c r="N206" s="36">
        <f t="shared" si="64"/>
        <v>150861.24109585336</v>
      </c>
      <c r="O206" s="36">
        <f t="shared" si="64"/>
        <v>184746.93876459845</v>
      </c>
      <c r="P206" s="37">
        <f t="shared" si="64"/>
        <v>1.6534827870672546</v>
      </c>
    </row>
    <row r="207" spans="2:16" x14ac:dyDescent="0.25">
      <c r="B207" s="102" t="s">
        <v>482</v>
      </c>
      <c r="C207" s="102"/>
      <c r="D207" s="102"/>
      <c r="E207" s="102"/>
      <c r="F207" s="102"/>
      <c r="G207" s="102"/>
      <c r="H207" s="102"/>
      <c r="I207" s="102"/>
      <c r="J207" s="102"/>
      <c r="K207" s="102"/>
      <c r="L207" s="102"/>
      <c r="M207" s="110"/>
      <c r="N207" s="110"/>
      <c r="O207" s="49"/>
      <c r="P207" s="38"/>
    </row>
    <row r="208" spans="2:16" x14ac:dyDescent="0.25">
      <c r="B208" s="102"/>
      <c r="C208" s="102"/>
      <c r="D208" s="102"/>
      <c r="E208" s="102"/>
      <c r="F208" s="102"/>
      <c r="G208" s="102"/>
      <c r="H208" s="102"/>
      <c r="I208" s="102"/>
      <c r="J208" s="102"/>
      <c r="K208" s="102"/>
      <c r="L208" s="102"/>
      <c r="M208" s="111"/>
      <c r="N208" s="111"/>
      <c r="O208" s="93"/>
      <c r="P208" s="39"/>
    </row>
    <row r="209" spans="2:16" ht="13.9" customHeight="1" x14ac:dyDescent="0.25">
      <c r="B209" s="21"/>
      <c r="C209" s="22" t="s">
        <v>483</v>
      </c>
      <c r="D209" s="105" t="s">
        <v>484</v>
      </c>
      <c r="E209" s="105"/>
      <c r="F209" s="105"/>
      <c r="G209" s="105"/>
      <c r="H209" s="105"/>
      <c r="I209" s="105"/>
      <c r="J209" s="105"/>
      <c r="K209" s="105"/>
      <c r="L209" s="105"/>
      <c r="M209" s="105"/>
      <c r="N209" s="105"/>
      <c r="O209" s="105"/>
      <c r="P209" s="105"/>
    </row>
    <row r="210" spans="2:16" x14ac:dyDescent="0.25">
      <c r="B210" s="32"/>
      <c r="C210" s="33" t="s">
        <v>485</v>
      </c>
      <c r="D210" s="106" t="s">
        <v>486</v>
      </c>
      <c r="E210" s="106"/>
      <c r="F210" s="106"/>
      <c r="G210" s="106"/>
      <c r="H210" s="106"/>
      <c r="I210" s="106"/>
      <c r="J210" s="106"/>
      <c r="K210" s="106"/>
      <c r="L210" s="106"/>
      <c r="M210" s="106"/>
      <c r="N210" s="106"/>
      <c r="O210" s="106"/>
      <c r="P210" s="106"/>
    </row>
    <row r="211" spans="2:16" x14ac:dyDescent="0.25">
      <c r="B211" s="32"/>
      <c r="C211" s="33" t="s">
        <v>487</v>
      </c>
      <c r="D211" s="107" t="s">
        <v>488</v>
      </c>
      <c r="E211" s="107"/>
      <c r="F211" s="107"/>
      <c r="G211" s="107"/>
      <c r="H211" s="107"/>
      <c r="I211" s="107"/>
      <c r="J211" s="107"/>
      <c r="K211" s="107"/>
      <c r="L211" s="107"/>
      <c r="M211" s="107"/>
      <c r="N211" s="107"/>
      <c r="O211" s="107"/>
      <c r="P211" s="107"/>
    </row>
    <row r="212" spans="2:16" ht="45" x14ac:dyDescent="0.25">
      <c r="B212" s="23">
        <v>119</v>
      </c>
      <c r="C212" s="24" t="s">
        <v>489</v>
      </c>
      <c r="D212" s="25" t="s">
        <v>490</v>
      </c>
      <c r="E212" s="25" t="s">
        <v>491</v>
      </c>
      <c r="F212" s="26">
        <v>0.04</v>
      </c>
      <c r="G212" s="27">
        <v>1</v>
      </c>
      <c r="H212" s="28">
        <f>F212 * G212 * 24950.02481</f>
        <v>998.00099239999997</v>
      </c>
      <c r="I212" s="28">
        <f>F212 * G212 * 47362.619236</f>
        <v>1894.50476944</v>
      </c>
      <c r="J212" s="28">
        <f>F212 * G212 * 0</f>
        <v>0</v>
      </c>
      <c r="K212" s="28">
        <f>F212 * G212 * 23752.423619</f>
        <v>950.09694476000004</v>
      </c>
      <c r="L212" s="28">
        <f>F212 * G212 * 10086.832105</f>
        <v>403.47328419999997</v>
      </c>
      <c r="M212" s="28">
        <f>F212 * G212 * 4990.004962</f>
        <v>199.60019848000002</v>
      </c>
      <c r="N212" s="29">
        <f>SUM(H212:M212)</f>
        <v>4445.6761892800005</v>
      </c>
      <c r="O212" s="92">
        <f t="shared" ref="O212:O216" si="65">N212*1.07*1.09*1.05</f>
        <v>5444.2417465351282</v>
      </c>
      <c r="P212" s="30">
        <f t="shared" ref="P212:P216" si="66">IF($P$10&gt;0,O212/$P$10/12,0)</f>
        <v>4.8725895415235816E-2</v>
      </c>
    </row>
    <row r="213" spans="2:16" ht="45" x14ac:dyDescent="0.25">
      <c r="B213" s="23">
        <v>120</v>
      </c>
      <c r="C213" s="24" t="s">
        <v>492</v>
      </c>
      <c r="D213" s="25" t="s">
        <v>493</v>
      </c>
      <c r="E213" s="25" t="s">
        <v>491</v>
      </c>
      <c r="F213" s="26">
        <v>0.04</v>
      </c>
      <c r="G213" s="27">
        <v>1</v>
      </c>
      <c r="H213" s="28">
        <f>F213 * G213 * 27724.533335</f>
        <v>1108.9813334</v>
      </c>
      <c r="I213" s="28">
        <f>F213 * G213 * 56818.498776</f>
        <v>2272.7399510400001</v>
      </c>
      <c r="J213" s="28">
        <f>F213 * G213 * 0</f>
        <v>0</v>
      </c>
      <c r="K213" s="28">
        <f>F213 * G213 * 26393.755735</f>
        <v>1055.7502294000001</v>
      </c>
      <c r="L213" s="28">
        <f>F213 * G213 * 11648.362724</f>
        <v>465.93450896000002</v>
      </c>
      <c r="M213" s="28">
        <f>F213 * G213 * 5544.906667</f>
        <v>221.79626668</v>
      </c>
      <c r="N213" s="29">
        <f>SUM(H213:M213)</f>
        <v>5125.2022894800011</v>
      </c>
      <c r="O213" s="92">
        <f t="shared" si="65"/>
        <v>6276.399601731553</v>
      </c>
      <c r="P213" s="30">
        <f t="shared" si="66"/>
        <v>5.6173697792320489E-2</v>
      </c>
    </row>
    <row r="214" spans="2:16" ht="45" x14ac:dyDescent="0.25">
      <c r="B214" s="23">
        <v>121</v>
      </c>
      <c r="C214" s="24" t="s">
        <v>494</v>
      </c>
      <c r="D214" s="25" t="s">
        <v>495</v>
      </c>
      <c r="E214" s="25" t="s">
        <v>491</v>
      </c>
      <c r="F214" s="26">
        <v>0.05</v>
      </c>
      <c r="G214" s="27">
        <v>1</v>
      </c>
      <c r="H214" s="28">
        <f>F214 * G214 * 32574.785275</f>
        <v>1628.73926375</v>
      </c>
      <c r="I214" s="28">
        <f>F214 * G214 * 81427.422388</f>
        <v>4071.3711194000007</v>
      </c>
      <c r="J214" s="28">
        <f>F214 * G214 * 0</f>
        <v>0</v>
      </c>
      <c r="K214" s="28">
        <f>F214 * G214 * 31011.195582</f>
        <v>1550.5597791</v>
      </c>
      <c r="L214" s="28">
        <f>F214 * G214 * 15226.40734</f>
        <v>761.32036700000003</v>
      </c>
      <c r="M214" s="28">
        <f>F214 * G214 * 6514.957055</f>
        <v>325.74785274999999</v>
      </c>
      <c r="N214" s="29">
        <f>SUM(H214:M214)</f>
        <v>8337.7383820000014</v>
      </c>
      <c r="O214" s="92">
        <f t="shared" si="65"/>
        <v>10210.519488672933</v>
      </c>
      <c r="P214" s="30">
        <f t="shared" si="66"/>
        <v>9.1384021485992672E-2</v>
      </c>
    </row>
    <row r="215" spans="2:16" ht="45" x14ac:dyDescent="0.25">
      <c r="B215" s="23">
        <v>122</v>
      </c>
      <c r="C215" s="24" t="s">
        <v>496</v>
      </c>
      <c r="D215" s="25" t="s">
        <v>497</v>
      </c>
      <c r="E215" s="25" t="s">
        <v>491</v>
      </c>
      <c r="F215" s="26">
        <v>0.06</v>
      </c>
      <c r="G215" s="27">
        <v>1</v>
      </c>
      <c r="H215" s="28">
        <f>F215 * G215 * 35924.74742</f>
        <v>2155.4848452000001</v>
      </c>
      <c r="I215" s="28">
        <f>F215 * G215 * 90907.986513</f>
        <v>5454.47919078</v>
      </c>
      <c r="J215" s="28">
        <f>F215 * G215 * 0</f>
        <v>0</v>
      </c>
      <c r="K215" s="28">
        <f>F215 * G215 * 34200.359544</f>
        <v>2052.0215726399997</v>
      </c>
      <c r="L215" s="28">
        <f>F215 * G215 * 16908.474815</f>
        <v>1014.5084889000001</v>
      </c>
      <c r="M215" s="28">
        <f>F215 * G215 * 7184.949484</f>
        <v>431.09696903999998</v>
      </c>
      <c r="N215" s="29">
        <f>SUM(H215:M215)</f>
        <v>11107.59106656</v>
      </c>
      <c r="O215" s="92">
        <f t="shared" si="65"/>
        <v>13602.522633975377</v>
      </c>
      <c r="P215" s="30">
        <f t="shared" si="66"/>
        <v>0.12174240713470963</v>
      </c>
    </row>
    <row r="216" spans="2:16" ht="45" x14ac:dyDescent="0.25">
      <c r="B216" s="23">
        <v>123</v>
      </c>
      <c r="C216" s="24" t="s">
        <v>498</v>
      </c>
      <c r="D216" s="25" t="s">
        <v>499</v>
      </c>
      <c r="E216" s="25" t="s">
        <v>491</v>
      </c>
      <c r="F216" s="26">
        <v>0.03</v>
      </c>
      <c r="G216" s="27">
        <v>1</v>
      </c>
      <c r="H216" s="28">
        <f>F216 * G216 * 45296.42066</f>
        <v>1358.8926198000001</v>
      </c>
      <c r="I216" s="28">
        <f>F216 * G216 * 143028.89213</f>
        <v>4290.8667638999996</v>
      </c>
      <c r="J216" s="28">
        <f>F216 * G216 * 0</f>
        <v>0</v>
      </c>
      <c r="K216" s="28">
        <f>F216 * G216 * 43122.192468</f>
        <v>1293.6657740400001</v>
      </c>
      <c r="L216" s="28">
        <f>F216 * G216 * 24301.988052</f>
        <v>729.05964156000005</v>
      </c>
      <c r="M216" s="28">
        <f>F216 * G216 * 9059.284132</f>
        <v>271.77852396000003</v>
      </c>
      <c r="N216" s="29">
        <f>SUM(H216:M216)</f>
        <v>7944.2633232599992</v>
      </c>
      <c r="O216" s="92">
        <f t="shared" si="65"/>
        <v>9728.6640296140467</v>
      </c>
      <c r="P216" s="30">
        <f t="shared" si="66"/>
        <v>8.7071421165056076E-2</v>
      </c>
    </row>
    <row r="217" spans="2:16" x14ac:dyDescent="0.25">
      <c r="B217" s="32"/>
      <c r="C217" s="33" t="s">
        <v>500</v>
      </c>
      <c r="D217" s="107" t="s">
        <v>501</v>
      </c>
      <c r="E217" s="107"/>
      <c r="F217" s="107"/>
      <c r="G217" s="107"/>
      <c r="H217" s="107"/>
      <c r="I217" s="107"/>
      <c r="J217" s="107"/>
      <c r="K217" s="107"/>
      <c r="L217" s="107"/>
      <c r="M217" s="107"/>
      <c r="N217" s="107"/>
      <c r="O217" s="107"/>
      <c r="P217" s="107"/>
    </row>
    <row r="218" spans="2:16" ht="45" x14ac:dyDescent="0.25">
      <c r="B218" s="23">
        <v>124</v>
      </c>
      <c r="C218" s="24" t="s">
        <v>502</v>
      </c>
      <c r="D218" s="25" t="s">
        <v>503</v>
      </c>
      <c r="E218" s="25" t="s">
        <v>316</v>
      </c>
      <c r="F218" s="26">
        <v>0.05</v>
      </c>
      <c r="G218" s="27">
        <v>1</v>
      </c>
      <c r="H218" s="28">
        <f>F218 * G218 * 7490.2985</f>
        <v>374.51492500000001</v>
      </c>
      <c r="I218" s="28">
        <f>F218 * G218 * 37826.932816</f>
        <v>1891.3466408000002</v>
      </c>
      <c r="J218" s="28">
        <f>F218 * G218 * 0</f>
        <v>0</v>
      </c>
      <c r="K218" s="28">
        <f>F218 * G218 * 7130.76417199999</f>
        <v>356.53820859999951</v>
      </c>
      <c r="L218" s="28">
        <f>F218 * G218 * 5507.039526</f>
        <v>275.35197629999999</v>
      </c>
      <c r="M218" s="28">
        <f>F218 * G218 * 1498.0597</f>
        <v>74.902985000000001</v>
      </c>
      <c r="N218" s="29">
        <f>SUM(H218:M218)</f>
        <v>2972.6547356999999</v>
      </c>
      <c r="O218" s="92">
        <f t="shared" ref="O218:O220" si="67">N218*1.07*1.09*1.05</f>
        <v>3640.3575791592561</v>
      </c>
      <c r="P218" s="30">
        <f t="shared" ref="P218:P220" si="68">IF($P$10&gt;0,O218/$P$10/12,0)</f>
        <v>3.2581154719858736E-2</v>
      </c>
    </row>
    <row r="219" spans="2:16" ht="45" x14ac:dyDescent="0.25">
      <c r="B219" s="23">
        <v>125</v>
      </c>
      <c r="C219" s="24" t="s">
        <v>504</v>
      </c>
      <c r="D219" s="25" t="s">
        <v>505</v>
      </c>
      <c r="E219" s="25" t="s">
        <v>316</v>
      </c>
      <c r="F219" s="26">
        <v>0.13</v>
      </c>
      <c r="G219" s="27">
        <v>1</v>
      </c>
      <c r="H219" s="28">
        <f>F219 * G219 * 9109.8225</f>
        <v>1184.2769250000001</v>
      </c>
      <c r="I219" s="28">
        <f>F219 * G219 * 37826.932816</f>
        <v>4917.5012660800003</v>
      </c>
      <c r="J219" s="28">
        <f>F219 * G219 * 0</f>
        <v>0</v>
      </c>
      <c r="K219" s="28">
        <f>F219 * G219 * 8672.55101999999</f>
        <v>1127.4316325999987</v>
      </c>
      <c r="L219" s="28">
        <f>F219 * G219 * 5838.977166</f>
        <v>759.06703157999993</v>
      </c>
      <c r="M219" s="28">
        <f>F219 * G219 * 1821.9645</f>
        <v>236.85538500000001</v>
      </c>
      <c r="N219" s="29">
        <f>SUM(H219:M219)</f>
        <v>8225.1322402599999</v>
      </c>
      <c r="O219" s="92">
        <f t="shared" si="67"/>
        <v>10072.620318406001</v>
      </c>
      <c r="P219" s="30">
        <f t="shared" si="68"/>
        <v>9.014982563997781E-2</v>
      </c>
    </row>
    <row r="220" spans="2:16" ht="45" x14ac:dyDescent="0.25">
      <c r="B220" s="23">
        <v>126</v>
      </c>
      <c r="C220" s="24" t="s">
        <v>506</v>
      </c>
      <c r="D220" s="25" t="s">
        <v>507</v>
      </c>
      <c r="E220" s="25" t="s">
        <v>316</v>
      </c>
      <c r="F220" s="26">
        <v>0.09</v>
      </c>
      <c r="G220" s="27">
        <v>1</v>
      </c>
      <c r="H220" s="28">
        <f>F220 * G220 * 10729.3465</f>
        <v>965.64118499999995</v>
      </c>
      <c r="I220" s="28">
        <f>F220 * G220 * 37826.932816</f>
        <v>3404.4239534399999</v>
      </c>
      <c r="J220" s="28">
        <f>F220 * G220 * 0</f>
        <v>0</v>
      </c>
      <c r="K220" s="28">
        <f>F220 * G220 * 10214.3378679999</f>
        <v>919.29040811999096</v>
      </c>
      <c r="L220" s="28">
        <f>F220 * G220 * 6170.914804</f>
        <v>555.38233235999996</v>
      </c>
      <c r="M220" s="28">
        <f>F220 * G220 * 2145.8693</f>
        <v>193.12823699999998</v>
      </c>
      <c r="N220" s="29">
        <f>SUM(H220:M220)</f>
        <v>6037.866115919991</v>
      </c>
      <c r="O220" s="92">
        <f t="shared" si="67"/>
        <v>7394.0614135473606</v>
      </c>
      <c r="P220" s="30">
        <f t="shared" si="68"/>
        <v>6.6176757003789069E-2</v>
      </c>
    </row>
    <row r="221" spans="2:16" x14ac:dyDescent="0.25">
      <c r="B221" s="32"/>
      <c r="C221" s="33" t="s">
        <v>508</v>
      </c>
      <c r="D221" s="107" t="s">
        <v>509</v>
      </c>
      <c r="E221" s="107"/>
      <c r="F221" s="107"/>
      <c r="G221" s="107"/>
      <c r="H221" s="107"/>
      <c r="I221" s="107"/>
      <c r="J221" s="107"/>
      <c r="K221" s="107"/>
      <c r="L221" s="107"/>
      <c r="M221" s="107"/>
      <c r="N221" s="107"/>
      <c r="O221" s="107"/>
      <c r="P221" s="107"/>
    </row>
    <row r="222" spans="2:16" x14ac:dyDescent="0.25">
      <c r="B222" s="23">
        <v>127</v>
      </c>
      <c r="C222" s="24" t="s">
        <v>510</v>
      </c>
      <c r="D222" s="25" t="s">
        <v>511</v>
      </c>
      <c r="E222" s="25" t="s">
        <v>512</v>
      </c>
      <c r="F222" s="26">
        <v>0.03</v>
      </c>
      <c r="G222" s="27">
        <v>1</v>
      </c>
      <c r="H222" s="28">
        <f>F222 * G222 * 6544.78244</f>
        <v>196.34347320000001</v>
      </c>
      <c r="I222" s="28">
        <f>F222 * G222 * 6808.711391</f>
        <v>204.26134173</v>
      </c>
      <c r="J222" s="28">
        <f>F222 * G222 * 0</f>
        <v>0</v>
      </c>
      <c r="K222" s="28">
        <f>F222 * G222 * 6230.632883</f>
        <v>186.91898649000001</v>
      </c>
      <c r="L222" s="28">
        <f>F222 * G222 * 2056.333305</f>
        <v>61.689999149999998</v>
      </c>
      <c r="M222" s="28">
        <f>F222 * G222 * 1308.956488</f>
        <v>39.26869464</v>
      </c>
      <c r="N222" s="29">
        <f>SUM(H222:M222)</f>
        <v>688.48249520999991</v>
      </c>
      <c r="O222" s="92">
        <f t="shared" ref="O222:O224" si="69">N222*1.07*1.09*1.05</f>
        <v>843.12599087159413</v>
      </c>
      <c r="P222" s="30">
        <f t="shared" ref="P222:P224" si="70">IF($P$10&gt;0,O222/$P$10/12,0)</f>
        <v>7.5459670539468919E-3</v>
      </c>
    </row>
    <row r="223" spans="2:16" x14ac:dyDescent="0.25">
      <c r="B223" s="23">
        <v>128</v>
      </c>
      <c r="C223" s="24" t="s">
        <v>513</v>
      </c>
      <c r="D223" s="25" t="s">
        <v>514</v>
      </c>
      <c r="E223" s="25" t="s">
        <v>512</v>
      </c>
      <c r="F223" s="26">
        <v>0.05</v>
      </c>
      <c r="G223" s="27">
        <v>1</v>
      </c>
      <c r="H223" s="28">
        <f>F223 * G223 * 9486.51392</f>
        <v>474.32569599999999</v>
      </c>
      <c r="I223" s="28">
        <f>F223 * G223 * 14772.259248</f>
        <v>738.61296240000001</v>
      </c>
      <c r="J223" s="28">
        <f>F223 * G223 * 0</f>
        <v>0</v>
      </c>
      <c r="K223" s="28">
        <f>F223 * G223 * 9031.161252</f>
        <v>451.55806260000003</v>
      </c>
      <c r="L223" s="28">
        <f>F223 * G223 * 3495.443114</f>
        <v>174.77215570000001</v>
      </c>
      <c r="M223" s="28">
        <f>F223 * G223 * 1897.302784</f>
        <v>94.865139200000002</v>
      </c>
      <c r="N223" s="29">
        <f>SUM(H223:M223)</f>
        <v>1934.1340158999999</v>
      </c>
      <c r="O223" s="92">
        <f t="shared" si="69"/>
        <v>2368.5695278813787</v>
      </c>
      <c r="P223" s="30">
        <f t="shared" si="70"/>
        <v>2.1198667596403705E-2</v>
      </c>
    </row>
    <row r="224" spans="2:16" x14ac:dyDescent="0.25">
      <c r="B224" s="23">
        <v>129</v>
      </c>
      <c r="C224" s="24" t="s">
        <v>515</v>
      </c>
      <c r="D224" s="25" t="s">
        <v>516</v>
      </c>
      <c r="E224" s="25" t="s">
        <v>512</v>
      </c>
      <c r="F224" s="26">
        <v>0.05</v>
      </c>
      <c r="G224" s="27">
        <v>1</v>
      </c>
      <c r="H224" s="28">
        <f>F224 * G224 * 16190.9252</f>
        <v>809.54626000000007</v>
      </c>
      <c r="I224" s="28">
        <f>F224 * G224 * 26940.047877</f>
        <v>1347.0023938500001</v>
      </c>
      <c r="J224" s="28">
        <f>F224 * G224 * 0</f>
        <v>0</v>
      </c>
      <c r="K224" s="28">
        <f>F224 * G224 * 15413.76079</f>
        <v>770.68803950000006</v>
      </c>
      <c r="L224" s="28">
        <f>F224 * G224 * 6147.197056</f>
        <v>307.3598528</v>
      </c>
      <c r="M224" s="28">
        <f>F224 * G224 * 3238.18504</f>
        <v>161.90925200000001</v>
      </c>
      <c r="N224" s="29">
        <f>SUM(H224:M224)</f>
        <v>3396.5057981499999</v>
      </c>
      <c r="O224" s="92">
        <f t="shared" si="69"/>
        <v>4159.4119480014624</v>
      </c>
      <c r="P224" s="30">
        <f t="shared" si="70"/>
        <v>3.7226684817254344E-2</v>
      </c>
    </row>
    <row r="225" spans="2:16" x14ac:dyDescent="0.25">
      <c r="B225" s="32"/>
      <c r="C225" s="33" t="s">
        <v>517</v>
      </c>
      <c r="D225" s="107" t="s">
        <v>518</v>
      </c>
      <c r="E225" s="107"/>
      <c r="F225" s="107"/>
      <c r="G225" s="107"/>
      <c r="H225" s="107"/>
      <c r="I225" s="107"/>
      <c r="J225" s="107"/>
      <c r="K225" s="107"/>
      <c r="L225" s="107"/>
      <c r="M225" s="107"/>
      <c r="N225" s="107"/>
      <c r="O225" s="107"/>
      <c r="P225" s="107"/>
    </row>
    <row r="226" spans="2:16" ht="45" x14ac:dyDescent="0.25">
      <c r="B226" s="23">
        <v>130</v>
      </c>
      <c r="C226" s="24" t="s">
        <v>519</v>
      </c>
      <c r="D226" s="25" t="s">
        <v>520</v>
      </c>
      <c r="E226" s="25" t="s">
        <v>521</v>
      </c>
      <c r="F226" s="26">
        <v>0.03</v>
      </c>
      <c r="G226" s="27">
        <v>1</v>
      </c>
      <c r="H226" s="28">
        <f>F226 * G226 * 26.317265</f>
        <v>0.78951794999999991</v>
      </c>
      <c r="I226" s="28">
        <f>F226 * G226 * 3.958512</f>
        <v>0.11875535999999999</v>
      </c>
      <c r="J226" s="28">
        <f>F226 * G226 * 0</f>
        <v>0</v>
      </c>
      <c r="K226" s="28">
        <f>F226 * G226 * 25.054036</f>
        <v>0.75162107999999994</v>
      </c>
      <c r="L226" s="28">
        <f>F226 * G226 * 5.80963</f>
        <v>0.1742889</v>
      </c>
      <c r="M226" s="28">
        <f>F226 * G226 * 5.263453</f>
        <v>0.15790359000000001</v>
      </c>
      <c r="N226" s="29">
        <f>SUM(H226:M226)</f>
        <v>1.99208688</v>
      </c>
      <c r="O226" s="92">
        <f t="shared" ref="O226:O228" si="71">N226*1.07*1.09*1.05</f>
        <v>2.4395394745512</v>
      </c>
      <c r="P226" s="30">
        <f t="shared" ref="P226:P228" si="72">IF($P$10&gt;0,O226/$P$10/12,0)</f>
        <v>2.183384772984642E-5</v>
      </c>
    </row>
    <row r="227" spans="2:16" ht="45" x14ac:dyDescent="0.25">
      <c r="B227" s="23">
        <v>131</v>
      </c>
      <c r="C227" s="24" t="s">
        <v>522</v>
      </c>
      <c r="D227" s="25" t="s">
        <v>523</v>
      </c>
      <c r="E227" s="25" t="s">
        <v>521</v>
      </c>
      <c r="F227" s="26">
        <v>0.05</v>
      </c>
      <c r="G227" s="27">
        <v>1</v>
      </c>
      <c r="H227" s="28">
        <f>F227 * G227 * 26.317265</f>
        <v>1.31586325</v>
      </c>
      <c r="I227" s="28">
        <f>F227 * G227 * 8.142077</f>
        <v>0.40710385000000004</v>
      </c>
      <c r="J227" s="28">
        <f>F227 * G227 * 0</f>
        <v>0</v>
      </c>
      <c r="K227" s="28">
        <f>F227 * G227 * 25.054036</f>
        <v>1.2527018000000001</v>
      </c>
      <c r="L227" s="28">
        <f>F227 * G227 * 6.248905</f>
        <v>0.31244525000000001</v>
      </c>
      <c r="M227" s="28">
        <f>F227 * G227 * 5.263453</f>
        <v>0.26317265000000001</v>
      </c>
      <c r="N227" s="29">
        <f>SUM(H227:M227)</f>
        <v>3.5512868000000002</v>
      </c>
      <c r="O227" s="92">
        <f t="shared" si="71"/>
        <v>4.3489590845820016</v>
      </c>
      <c r="P227" s="30">
        <f t="shared" si="72"/>
        <v>3.8923129314627874E-5</v>
      </c>
    </row>
    <row r="228" spans="2:16" ht="30" x14ac:dyDescent="0.25">
      <c r="B228" s="23">
        <v>132</v>
      </c>
      <c r="C228" s="24" t="s">
        <v>524</v>
      </c>
      <c r="D228" s="25" t="s">
        <v>525</v>
      </c>
      <c r="E228" s="25" t="s">
        <v>521</v>
      </c>
      <c r="F228" s="26">
        <v>0.05</v>
      </c>
      <c r="G228" s="27">
        <v>1</v>
      </c>
      <c r="H228" s="28">
        <f>F228 * G228 * 26.317265</f>
        <v>1.31586325</v>
      </c>
      <c r="I228" s="28">
        <f>F228 * G228 * 5.927076</f>
        <v>0.2963538</v>
      </c>
      <c r="J228" s="28">
        <f>F228 * G228 * 0</f>
        <v>0</v>
      </c>
      <c r="K228" s="28">
        <f>F228 * G228 * 25.054036</f>
        <v>1.2527018000000001</v>
      </c>
      <c r="L228" s="28">
        <f>F228 * G228 * 6.01633</f>
        <v>0.30081650000000004</v>
      </c>
      <c r="M228" s="28">
        <f>F228 * G228 * 5.263453</f>
        <v>0.26317265000000001</v>
      </c>
      <c r="N228" s="29">
        <f>SUM(H228:M228)</f>
        <v>3.4289080000000003</v>
      </c>
      <c r="O228" s="92">
        <f t="shared" si="71"/>
        <v>4.199092170420001</v>
      </c>
      <c r="P228" s="30">
        <f t="shared" si="72"/>
        <v>3.7581822310707779E-5</v>
      </c>
    </row>
    <row r="229" spans="2:16" x14ac:dyDescent="0.25">
      <c r="B229" s="32"/>
      <c r="C229" s="33" t="s">
        <v>526</v>
      </c>
      <c r="D229" s="107" t="s">
        <v>527</v>
      </c>
      <c r="E229" s="107"/>
      <c r="F229" s="107"/>
      <c r="G229" s="107"/>
      <c r="H229" s="107"/>
      <c r="I229" s="107"/>
      <c r="J229" s="107"/>
      <c r="K229" s="107"/>
      <c r="L229" s="107"/>
      <c r="M229" s="107"/>
      <c r="N229" s="107"/>
      <c r="O229" s="107"/>
      <c r="P229" s="107"/>
    </row>
    <row r="230" spans="2:16" ht="45" x14ac:dyDescent="0.25">
      <c r="B230" s="23">
        <v>133</v>
      </c>
      <c r="C230" s="24" t="s">
        <v>528</v>
      </c>
      <c r="D230" s="25" t="s">
        <v>529</v>
      </c>
      <c r="E230" s="25" t="s">
        <v>530</v>
      </c>
      <c r="F230" s="26">
        <v>0.02</v>
      </c>
      <c r="G230" s="27">
        <v>1</v>
      </c>
      <c r="H230" s="28">
        <f>F230 * G230 * 38150.26096</f>
        <v>763.00521920000006</v>
      </c>
      <c r="I230" s="28">
        <f>F230 * G230 * 12894.596972</f>
        <v>257.89193943999999</v>
      </c>
      <c r="J230" s="28">
        <f>F230 * G230 * 4488.4112</f>
        <v>89.768223999999989</v>
      </c>
      <c r="K230" s="28">
        <f>F230 * G230 * 38086.027245</f>
        <v>761.72054489999994</v>
      </c>
      <c r="L230" s="28">
        <f>F230 * G230 * 9830.02612</f>
        <v>196.60052240000002</v>
      </c>
      <c r="M230" s="28">
        <f>F230 * G230 * 8001.266228</f>
        <v>160.02532456</v>
      </c>
      <c r="N230" s="29">
        <f t="shared" ref="N230:N235" si="73">SUM(H230:M230)</f>
        <v>2229.0117745000002</v>
      </c>
      <c r="O230" s="92">
        <f t="shared" ref="O230:O235" si="74">N230*1.07*1.09*1.05</f>
        <v>2729.6812542293178</v>
      </c>
      <c r="P230" s="30">
        <f t="shared" ref="P230:P235" si="75">IF($P$10&gt;0,O230/$P$10/12,0)</f>
        <v>2.4430613022494163E-2</v>
      </c>
    </row>
    <row r="231" spans="2:16" ht="45" x14ac:dyDescent="0.25">
      <c r="B231" s="23">
        <v>134</v>
      </c>
      <c r="C231" s="24" t="s">
        <v>531</v>
      </c>
      <c r="D231" s="25" t="s">
        <v>532</v>
      </c>
      <c r="E231" s="25" t="s">
        <v>530</v>
      </c>
      <c r="F231" s="26">
        <v>0.02</v>
      </c>
      <c r="G231" s="27">
        <v>1</v>
      </c>
      <c r="H231" s="28">
        <f>F231 * G231 * 31902.598864</f>
        <v>638.05197727999996</v>
      </c>
      <c r="I231" s="28">
        <f>F231 * G231 * 17388.013653</f>
        <v>347.76027306000003</v>
      </c>
      <c r="J231" s="28">
        <f>F231 * G231 * 10323.34576</f>
        <v>206.46691520000002</v>
      </c>
      <c r="K231" s="28">
        <f>F231 * G231 * 34435.325385</f>
        <v>688.70650769999997</v>
      </c>
      <c r="L231" s="28">
        <f>F231 * G231 * 9875.174784</f>
        <v>197.50349568000001</v>
      </c>
      <c r="M231" s="28">
        <f>F231 * G231 * 7234.312056</f>
        <v>144.68624112000001</v>
      </c>
      <c r="N231" s="29">
        <f t="shared" si="73"/>
        <v>2223.1754100400003</v>
      </c>
      <c r="O231" s="92">
        <f t="shared" si="74"/>
        <v>2722.5339547661351</v>
      </c>
      <c r="P231" s="30">
        <f t="shared" si="75"/>
        <v>2.4366644781854213E-2</v>
      </c>
    </row>
    <row r="232" spans="2:16" ht="45" x14ac:dyDescent="0.25">
      <c r="B232" s="23">
        <v>135</v>
      </c>
      <c r="C232" s="24" t="s">
        <v>533</v>
      </c>
      <c r="D232" s="25" t="s">
        <v>534</v>
      </c>
      <c r="E232" s="25" t="s">
        <v>530</v>
      </c>
      <c r="F232" s="26">
        <v>0.02</v>
      </c>
      <c r="G232" s="27">
        <v>1</v>
      </c>
      <c r="H232" s="28">
        <f>F232 * G232 * 31902.598864</f>
        <v>638.05197727999996</v>
      </c>
      <c r="I232" s="28">
        <f>F232 * G232 * 24661.966138</f>
        <v>493.23932275999999</v>
      </c>
      <c r="J232" s="28">
        <f>F232 * G232 * 10323.34576</f>
        <v>206.46691520000002</v>
      </c>
      <c r="K232" s="28">
        <f>F232 * G232 * 34435.325385</f>
        <v>688.70650769999997</v>
      </c>
      <c r="L232" s="28">
        <f>F232 * G232 * 10638.9397959999</f>
        <v>212.778795919998</v>
      </c>
      <c r="M232" s="28">
        <f>F232 * G232 * 7234.312056</f>
        <v>144.68624112000001</v>
      </c>
      <c r="N232" s="29">
        <f t="shared" si="73"/>
        <v>2383.9297599799979</v>
      </c>
      <c r="O232" s="92">
        <f t="shared" si="74"/>
        <v>2919.3961430179056</v>
      </c>
      <c r="P232" s="30">
        <f t="shared" si="75"/>
        <v>2.6128558900027795E-2</v>
      </c>
    </row>
    <row r="233" spans="2:16" ht="45" x14ac:dyDescent="0.25">
      <c r="B233" s="23">
        <v>136</v>
      </c>
      <c r="C233" s="24" t="s">
        <v>535</v>
      </c>
      <c r="D233" s="25" t="s">
        <v>536</v>
      </c>
      <c r="E233" s="25" t="s">
        <v>530</v>
      </c>
      <c r="F233" s="26">
        <v>0.02</v>
      </c>
      <c r="G233" s="27">
        <v>1</v>
      </c>
      <c r="H233" s="28">
        <f>F233 * G233 * 36609.53968</f>
        <v>732.19079360000001</v>
      </c>
      <c r="I233" s="28">
        <f>F233 * G233 * 26746.278237</f>
        <v>534.92556474000003</v>
      </c>
      <c r="J233" s="28">
        <f>F233 * G233 * 13016.39248</f>
        <v>260.32784960000004</v>
      </c>
      <c r="K233" s="28">
        <f>F233 * G233 * 39976.520328</f>
        <v>799.53040655999996</v>
      </c>
      <c r="L233" s="28">
        <f>F233 * G233 * 12216.616727</f>
        <v>244.33233454000001</v>
      </c>
      <c r="M233" s="28">
        <f>F233 * G233 * 8398.42864</f>
        <v>167.9685728</v>
      </c>
      <c r="N233" s="29">
        <f t="shared" si="73"/>
        <v>2739.2755218399998</v>
      </c>
      <c r="O233" s="92">
        <f t="shared" si="74"/>
        <v>3354.5578931780919</v>
      </c>
      <c r="P233" s="30">
        <f t="shared" si="75"/>
        <v>3.0023251111392368E-2</v>
      </c>
    </row>
    <row r="234" spans="2:16" ht="45" x14ac:dyDescent="0.25">
      <c r="B234" s="23">
        <v>137</v>
      </c>
      <c r="C234" s="24" t="s">
        <v>537</v>
      </c>
      <c r="D234" s="25" t="s">
        <v>538</v>
      </c>
      <c r="E234" s="25" t="s">
        <v>530</v>
      </c>
      <c r="F234" s="26">
        <v>0.02</v>
      </c>
      <c r="G234" s="27">
        <v>1</v>
      </c>
      <c r="H234" s="28">
        <f>F234 * G234 * 32687.089</f>
        <v>653.74178000000006</v>
      </c>
      <c r="I234" s="28">
        <f>F234 * G234 * 37481.305144</f>
        <v>749.62610287999996</v>
      </c>
      <c r="J234" s="28">
        <f>F234 * G234 * 11043.03928</f>
        <v>220.86078560000001</v>
      </c>
      <c r="K234" s="28">
        <f>F234 * G234 * 35465.485907</f>
        <v>709.30971814000009</v>
      </c>
      <c r="L234" s="28">
        <f>F234 * G234 * 12251.07653</f>
        <v>245.02153060000001</v>
      </c>
      <c r="M234" s="28">
        <f>F234 * G234 * 7450.732333</f>
        <v>149.01464666000001</v>
      </c>
      <c r="N234" s="29">
        <f t="shared" si="73"/>
        <v>2727.5745638799999</v>
      </c>
      <c r="O234" s="92">
        <f t="shared" si="74"/>
        <v>3340.2287245459065</v>
      </c>
      <c r="P234" s="30">
        <f t="shared" si="75"/>
        <v>2.989500523167854E-2</v>
      </c>
    </row>
    <row r="235" spans="2:16" ht="45" x14ac:dyDescent="0.25">
      <c r="B235" s="23">
        <v>138</v>
      </c>
      <c r="C235" s="24" t="s">
        <v>539</v>
      </c>
      <c r="D235" s="25" t="s">
        <v>540</v>
      </c>
      <c r="E235" s="25" t="s">
        <v>530</v>
      </c>
      <c r="F235" s="26">
        <v>0.02</v>
      </c>
      <c r="G235" s="27">
        <v>1</v>
      </c>
      <c r="H235" s="28">
        <f>F235 * G235 * 29026.135032</f>
        <v>580.52270063999993</v>
      </c>
      <c r="I235" s="28">
        <f>F235 * G235 * 35403.2367</f>
        <v>708.06473400000004</v>
      </c>
      <c r="J235" s="28">
        <f>F235 * G235 * 11043.03928</f>
        <v>220.86078560000001</v>
      </c>
      <c r="K235" s="28">
        <f>F235 * G235 * 31980.2577289999</f>
        <v>639.60515457999804</v>
      </c>
      <c r="L235" s="28">
        <f>F235 * G235 * 11282.530218</f>
        <v>225.65060435999999</v>
      </c>
      <c r="M235" s="28">
        <f>F235 * G235 * 6718.54154</f>
        <v>134.37083079999999</v>
      </c>
      <c r="N235" s="29">
        <f t="shared" si="73"/>
        <v>2509.074809979998</v>
      </c>
      <c r="O235" s="92">
        <f t="shared" si="74"/>
        <v>3072.6506484236556</v>
      </c>
      <c r="P235" s="30">
        <f t="shared" si="75"/>
        <v>2.7500184803132991E-2</v>
      </c>
    </row>
    <row r="236" spans="2:16" x14ac:dyDescent="0.25">
      <c r="B236" s="32"/>
      <c r="C236" s="33" t="s">
        <v>541</v>
      </c>
      <c r="D236" s="106" t="s">
        <v>542</v>
      </c>
      <c r="E236" s="106"/>
      <c r="F236" s="106"/>
      <c r="G236" s="106"/>
      <c r="H236" s="106"/>
      <c r="I236" s="106"/>
      <c r="J236" s="106"/>
      <c r="K236" s="106"/>
      <c r="L236" s="106"/>
      <c r="M236" s="106"/>
      <c r="N236" s="106"/>
      <c r="O236" s="106"/>
      <c r="P236" s="106"/>
    </row>
    <row r="237" spans="2:16" x14ac:dyDescent="0.25">
      <c r="B237" s="32"/>
      <c r="C237" s="33" t="s">
        <v>543</v>
      </c>
      <c r="D237" s="107" t="s">
        <v>544</v>
      </c>
      <c r="E237" s="107"/>
      <c r="F237" s="107"/>
      <c r="G237" s="107"/>
      <c r="H237" s="107"/>
      <c r="I237" s="107"/>
      <c r="J237" s="107"/>
      <c r="K237" s="107"/>
      <c r="L237" s="107"/>
      <c r="M237" s="107"/>
      <c r="N237" s="107"/>
      <c r="O237" s="107"/>
      <c r="P237" s="107"/>
    </row>
    <row r="238" spans="2:16" ht="30" x14ac:dyDescent="0.25">
      <c r="B238" s="23">
        <v>139</v>
      </c>
      <c r="C238" s="24" t="s">
        <v>545</v>
      </c>
      <c r="D238" s="25" t="s">
        <v>546</v>
      </c>
      <c r="E238" s="25" t="s">
        <v>547</v>
      </c>
      <c r="F238" s="26">
        <v>1</v>
      </c>
      <c r="G238" s="27">
        <v>1</v>
      </c>
      <c r="H238" s="28">
        <f>F238 * G238 * 2383.03054</f>
        <v>2383.0305400000002</v>
      </c>
      <c r="I238" s="28">
        <f>F238 * G238 * 0</f>
        <v>0</v>
      </c>
      <c r="J238" s="28">
        <f>F238 * G238 * 0</f>
        <v>0</v>
      </c>
      <c r="K238" s="28">
        <f>F238 * G238 * 2268.645074</f>
        <v>2268.645074</v>
      </c>
      <c r="L238" s="28">
        <f>F238 * G238 * 488.425938999999</f>
        <v>488.425938999999</v>
      </c>
      <c r="M238" s="28">
        <f>F238 * G238 * 476.606108</f>
        <v>476.60610800000001</v>
      </c>
      <c r="N238" s="29">
        <f>SUM(H238:M238)</f>
        <v>5616.7076609999986</v>
      </c>
      <c r="O238" s="92">
        <f>N238*1.07*1.09*1.05</f>
        <v>6878.3044522755144</v>
      </c>
      <c r="P238" s="30">
        <f>IF($P$10&gt;0,O238/$P$10/12,0)</f>
        <v>6.1560738662831731E-2</v>
      </c>
    </row>
    <row r="239" spans="2:16" x14ac:dyDescent="0.25">
      <c r="B239" s="32"/>
      <c r="C239" s="33" t="s">
        <v>548</v>
      </c>
      <c r="D239" s="107" t="s">
        <v>549</v>
      </c>
      <c r="E239" s="107"/>
      <c r="F239" s="107"/>
      <c r="G239" s="107"/>
      <c r="H239" s="107"/>
      <c r="I239" s="107"/>
      <c r="J239" s="107"/>
      <c r="K239" s="107"/>
      <c r="L239" s="107"/>
      <c r="M239" s="107"/>
      <c r="N239" s="107"/>
      <c r="O239" s="107"/>
      <c r="P239" s="107"/>
    </row>
    <row r="240" spans="2:16" x14ac:dyDescent="0.25">
      <c r="B240" s="23">
        <v>140</v>
      </c>
      <c r="C240" s="24" t="s">
        <v>550</v>
      </c>
      <c r="D240" s="25" t="s">
        <v>551</v>
      </c>
      <c r="E240" s="25" t="s">
        <v>552</v>
      </c>
      <c r="F240" s="26">
        <v>3</v>
      </c>
      <c r="G240" s="27">
        <v>1</v>
      </c>
      <c r="H240" s="28">
        <f>F240 * G240 * 1677.488648</f>
        <v>5032.4659439999996</v>
      </c>
      <c r="I240" s="28">
        <f>F240 * G240 * 4071.32424</f>
        <v>12213.97272</v>
      </c>
      <c r="J240" s="28">
        <f>F240 * G240 * 0</f>
        <v>0</v>
      </c>
      <c r="K240" s="28">
        <f>F240 * G240 * 1596.969193</f>
        <v>4790.9075789999997</v>
      </c>
      <c r="L240" s="28">
        <f>F240 * G240 * 771.307118</f>
        <v>2313.9213540000001</v>
      </c>
      <c r="M240" s="28">
        <f>F240 * G240 * 335.49773</f>
        <v>1006.4931899999999</v>
      </c>
      <c r="N240" s="29">
        <f>SUM(H240:M240)</f>
        <v>25357.760786999999</v>
      </c>
      <c r="O240" s="92">
        <f t="shared" ref="O240:O241" si="76">N240*1.07*1.09*1.05</f>
        <v>31053.49422617201</v>
      </c>
      <c r="P240" s="30">
        <f t="shared" ref="P240:P241" si="77">IF($P$10&gt;0,O240/$P$10/12,0)</f>
        <v>0.27792838422450156</v>
      </c>
    </row>
    <row r="241" spans="2:16" x14ac:dyDescent="0.25">
      <c r="B241" s="23">
        <v>141</v>
      </c>
      <c r="C241" s="24" t="s">
        <v>553</v>
      </c>
      <c r="D241" s="25" t="s">
        <v>554</v>
      </c>
      <c r="E241" s="25" t="s">
        <v>552</v>
      </c>
      <c r="F241" s="26">
        <v>3</v>
      </c>
      <c r="G241" s="27">
        <v>1</v>
      </c>
      <c r="H241" s="28">
        <f>F241 * G241 * 1568.170778</f>
        <v>4704.512334</v>
      </c>
      <c r="I241" s="28">
        <f>F241 * G241 * 12597.38568</f>
        <v>37792.157039999998</v>
      </c>
      <c r="J241" s="28">
        <f>F241 * G241 * 0</f>
        <v>0</v>
      </c>
      <c r="K241" s="28">
        <f>F241 * G241 * 1492.898581</f>
        <v>4478.6957430000002</v>
      </c>
      <c r="L241" s="28">
        <f>F241 * G241 * 1644.137779</f>
        <v>4932.413337</v>
      </c>
      <c r="M241" s="28">
        <f>F241 * G241 * 313.634156</f>
        <v>940.902468</v>
      </c>
      <c r="N241" s="29">
        <f>SUM(H241:M241)</f>
        <v>52848.680921999992</v>
      </c>
      <c r="O241" s="92">
        <f t="shared" si="76"/>
        <v>64719.287387295037</v>
      </c>
      <c r="P241" s="30">
        <f t="shared" si="77"/>
        <v>0.5792368111847549</v>
      </c>
    </row>
    <row r="242" spans="2:16" x14ac:dyDescent="0.25">
      <c r="B242" s="32"/>
      <c r="C242" s="33" t="s">
        <v>555</v>
      </c>
      <c r="D242" s="106" t="s">
        <v>556</v>
      </c>
      <c r="E242" s="106"/>
      <c r="F242" s="106"/>
      <c r="G242" s="106"/>
      <c r="H242" s="106"/>
      <c r="I242" s="106"/>
      <c r="J242" s="106"/>
      <c r="K242" s="106"/>
      <c r="L242" s="106"/>
      <c r="M242" s="106"/>
      <c r="N242" s="106"/>
      <c r="O242" s="106"/>
      <c r="P242" s="106"/>
    </row>
    <row r="243" spans="2:16" x14ac:dyDescent="0.25">
      <c r="B243" s="32"/>
      <c r="C243" s="33" t="s">
        <v>557</v>
      </c>
      <c r="D243" s="107" t="s">
        <v>558</v>
      </c>
      <c r="E243" s="107"/>
      <c r="F243" s="107"/>
      <c r="G243" s="107"/>
      <c r="H243" s="107"/>
      <c r="I243" s="107"/>
      <c r="J243" s="107"/>
      <c r="K243" s="107"/>
      <c r="L243" s="107"/>
      <c r="M243" s="107"/>
      <c r="N243" s="107"/>
      <c r="O243" s="107"/>
      <c r="P243" s="107"/>
    </row>
    <row r="244" spans="2:16" ht="30" x14ac:dyDescent="0.25">
      <c r="B244" s="23">
        <v>142</v>
      </c>
      <c r="C244" s="24" t="s">
        <v>559</v>
      </c>
      <c r="D244" s="25" t="s">
        <v>560</v>
      </c>
      <c r="E244" s="25" t="s">
        <v>561</v>
      </c>
      <c r="F244" s="26">
        <v>1</v>
      </c>
      <c r="G244" s="27">
        <v>1</v>
      </c>
      <c r="H244" s="28">
        <f>F244 * G244 * 3995.6656</f>
        <v>3995.6655999999998</v>
      </c>
      <c r="I244" s="28">
        <f>F244 * G244 * 0</f>
        <v>0</v>
      </c>
      <c r="J244" s="28">
        <f>F244 * G244 * 0</f>
        <v>0</v>
      </c>
      <c r="K244" s="28">
        <f>F244 * G244 * 3803.873651</f>
        <v>3803.8736509999999</v>
      </c>
      <c r="L244" s="28">
        <f>F244 * G244 * 818.951621</f>
        <v>818.95162100000005</v>
      </c>
      <c r="M244" s="28">
        <f>F244 * G244 * 799.13312</f>
        <v>799.13311999999996</v>
      </c>
      <c r="N244" s="29">
        <f>SUM(H244:M244)</f>
        <v>9417.6239920000007</v>
      </c>
      <c r="O244" s="92">
        <f>N244*1.07*1.09*1.05</f>
        <v>11532.963604963083</v>
      </c>
      <c r="P244" s="30">
        <f>IF($P$10&gt;0,O244/$P$10/12,0)</f>
        <v>0.10321987975658793</v>
      </c>
    </row>
    <row r="245" spans="2:16" x14ac:dyDescent="0.25">
      <c r="B245" s="32"/>
      <c r="C245" s="33" t="s">
        <v>562</v>
      </c>
      <c r="D245" s="107" t="s">
        <v>563</v>
      </c>
      <c r="E245" s="107"/>
      <c r="F245" s="107"/>
      <c r="G245" s="107"/>
      <c r="H245" s="107"/>
      <c r="I245" s="107"/>
      <c r="J245" s="107"/>
      <c r="K245" s="107"/>
      <c r="L245" s="107"/>
      <c r="M245" s="107"/>
      <c r="N245" s="107"/>
      <c r="O245" s="107"/>
      <c r="P245" s="107"/>
    </row>
    <row r="246" spans="2:16" ht="30" x14ac:dyDescent="0.25">
      <c r="B246" s="23">
        <v>143</v>
      </c>
      <c r="C246" s="24" t="s">
        <v>564</v>
      </c>
      <c r="D246" s="25" t="s">
        <v>565</v>
      </c>
      <c r="E246" s="25" t="s">
        <v>566</v>
      </c>
      <c r="F246" s="26">
        <v>2</v>
      </c>
      <c r="G246" s="27">
        <v>1</v>
      </c>
      <c r="H246" s="28">
        <f>F246 * G246 * 60.267438</f>
        <v>120.534876</v>
      </c>
      <c r="I246" s="28">
        <f>F246 * G246 * 0</f>
        <v>0</v>
      </c>
      <c r="J246" s="28">
        <f>F246 * G246 * 0</f>
        <v>0</v>
      </c>
      <c r="K246" s="28">
        <f>F246 * G246 * 57.374601</f>
        <v>114.749202</v>
      </c>
      <c r="L246" s="28">
        <f>F246 * G246 * 12.352414</f>
        <v>24.704827999999999</v>
      </c>
      <c r="M246" s="28">
        <f>F246 * G246 * 12.053488</f>
        <v>24.106976</v>
      </c>
      <c r="N246" s="29">
        <f>SUM(H246:M246)</f>
        <v>284.09588199999996</v>
      </c>
      <c r="O246" s="92">
        <f t="shared" ref="O246:O247" si="78">N246*1.07*1.09*1.05</f>
        <v>347.90807853543004</v>
      </c>
      <c r="P246" s="30">
        <f t="shared" ref="P246:P247" si="79">IF($P$10&gt;0,O246/$P$10/12,0)</f>
        <v>3.1137729436099778E-3</v>
      </c>
    </row>
    <row r="247" spans="2:16" x14ac:dyDescent="0.25">
      <c r="B247" s="23">
        <v>144</v>
      </c>
      <c r="C247" s="24" t="s">
        <v>567</v>
      </c>
      <c r="D247" s="25" t="s">
        <v>568</v>
      </c>
      <c r="E247" s="25" t="s">
        <v>569</v>
      </c>
      <c r="F247" s="26">
        <v>1</v>
      </c>
      <c r="G247" s="27">
        <v>1</v>
      </c>
      <c r="H247" s="28">
        <f>F247 * G247 * 27470.201</f>
        <v>27470.201000000001</v>
      </c>
      <c r="I247" s="28">
        <f>F247 * G247 * 0</f>
        <v>0</v>
      </c>
      <c r="J247" s="28">
        <f>F247 * G247 * 0</f>
        <v>0</v>
      </c>
      <c r="K247" s="28">
        <f>F247 * G247 * 26151.6313519999</f>
        <v>26151.631351999898</v>
      </c>
      <c r="L247" s="28">
        <f>F247 * G247 * 5630.292397</f>
        <v>5630.2923970000002</v>
      </c>
      <c r="M247" s="28">
        <f>F247 * G247 * 5494.0402</f>
        <v>5494.0402000000004</v>
      </c>
      <c r="N247" s="29">
        <f>SUM(H247:M247)</f>
        <v>64746.164948999896</v>
      </c>
      <c r="O247" s="92">
        <f t="shared" si="78"/>
        <v>79289.124789019508</v>
      </c>
      <c r="P247" s="30">
        <f t="shared" si="79"/>
        <v>0.70963667337038183</v>
      </c>
    </row>
    <row r="248" spans="2:16" x14ac:dyDescent="0.25">
      <c r="B248" s="32"/>
      <c r="C248" s="33" t="s">
        <v>570</v>
      </c>
      <c r="D248" s="107" t="s">
        <v>571</v>
      </c>
      <c r="E248" s="107"/>
      <c r="F248" s="107"/>
      <c r="G248" s="107"/>
      <c r="H248" s="107"/>
      <c r="I248" s="107"/>
      <c r="J248" s="107"/>
      <c r="K248" s="107"/>
      <c r="L248" s="107"/>
      <c r="M248" s="107"/>
      <c r="N248" s="107"/>
      <c r="O248" s="107"/>
      <c r="P248" s="107"/>
    </row>
    <row r="249" spans="2:16" ht="30" x14ac:dyDescent="0.25">
      <c r="B249" s="23">
        <v>145</v>
      </c>
      <c r="C249" s="24" t="s">
        <v>572</v>
      </c>
      <c r="D249" s="25" t="s">
        <v>573</v>
      </c>
      <c r="E249" s="25" t="s">
        <v>574</v>
      </c>
      <c r="F249" s="26">
        <v>1</v>
      </c>
      <c r="G249" s="27">
        <v>1</v>
      </c>
      <c r="H249" s="28">
        <f>F249 * G249 * 566.195091</f>
        <v>566.19509100000005</v>
      </c>
      <c r="I249" s="28">
        <f>F249 * G249 * 6605.29152</f>
        <v>6605.2915199999998</v>
      </c>
      <c r="J249" s="28">
        <f>F249 * G249 * 0</f>
        <v>0</v>
      </c>
      <c r="K249" s="28">
        <f>F249 * G249 * 539.017726</f>
        <v>539.01772600000004</v>
      </c>
      <c r="L249" s="28">
        <f>F249 * G249 * 809.602956</f>
        <v>809.60295599999995</v>
      </c>
      <c r="M249" s="28">
        <f>F249 * G249 * 113.239018</f>
        <v>113.239018</v>
      </c>
      <c r="N249" s="29">
        <f>SUM(H249:M249)</f>
        <v>8633.3463110000012</v>
      </c>
      <c r="O249" s="92">
        <f>N249*1.07*1.09*1.05</f>
        <v>10572.525392645268</v>
      </c>
      <c r="P249" s="30">
        <f>IF($P$10&gt;0,O249/$P$10/12,0)</f>
        <v>9.4623969790617435E-2</v>
      </c>
    </row>
    <row r="250" spans="2:16" x14ac:dyDescent="0.25">
      <c r="B250" s="32"/>
      <c r="C250" s="33" t="s">
        <v>575</v>
      </c>
      <c r="D250" s="107" t="s">
        <v>576</v>
      </c>
      <c r="E250" s="107"/>
      <c r="F250" s="107"/>
      <c r="G250" s="107"/>
      <c r="H250" s="107"/>
      <c r="I250" s="107"/>
      <c r="J250" s="107"/>
      <c r="K250" s="107"/>
      <c r="L250" s="107"/>
      <c r="M250" s="107"/>
      <c r="N250" s="107"/>
      <c r="O250" s="107"/>
      <c r="P250" s="107"/>
    </row>
    <row r="251" spans="2:16" ht="45" x14ac:dyDescent="0.25">
      <c r="B251" s="23">
        <v>146</v>
      </c>
      <c r="C251" s="24" t="s">
        <v>577</v>
      </c>
      <c r="D251" s="25" t="s">
        <v>578</v>
      </c>
      <c r="E251" s="25" t="s">
        <v>579</v>
      </c>
      <c r="F251" s="26">
        <v>1</v>
      </c>
      <c r="G251" s="27">
        <v>1</v>
      </c>
      <c r="H251" s="28">
        <f>F251 * G251 * 3546.15322</f>
        <v>3546.1532200000001</v>
      </c>
      <c r="I251" s="28">
        <f>F251 * G251 * 0</f>
        <v>0</v>
      </c>
      <c r="J251" s="28">
        <f>F251 * G251 * 0</f>
        <v>0</v>
      </c>
      <c r="K251" s="28">
        <f>F251 * G251 * 3375.937865</f>
        <v>3375.9378649999999</v>
      </c>
      <c r="L251" s="28">
        <f>F251 * G251 * 726.819564</f>
        <v>726.81956400000001</v>
      </c>
      <c r="M251" s="28">
        <f>F251 * G251 * 709.230644</f>
        <v>709.23064399999998</v>
      </c>
      <c r="N251" s="29">
        <f>SUM(H251:M251)</f>
        <v>8358.1412930000006</v>
      </c>
      <c r="O251" s="92">
        <f>N251*1.07*1.09*1.05</f>
        <v>10235.505199527197</v>
      </c>
      <c r="P251" s="30">
        <f>IF($P$10&gt;0,O251/$P$10/12,0)</f>
        <v>9.1607643285067819E-2</v>
      </c>
    </row>
    <row r="252" spans="2:16" x14ac:dyDescent="0.25">
      <c r="B252" s="32"/>
      <c r="C252" s="33" t="s">
        <v>580</v>
      </c>
      <c r="D252" s="107" t="s">
        <v>581</v>
      </c>
      <c r="E252" s="107"/>
      <c r="F252" s="107"/>
      <c r="G252" s="107"/>
      <c r="H252" s="107"/>
      <c r="I252" s="107"/>
      <c r="J252" s="107"/>
      <c r="K252" s="107"/>
      <c r="L252" s="107"/>
      <c r="M252" s="107"/>
      <c r="N252" s="107"/>
      <c r="O252" s="107"/>
      <c r="P252" s="107"/>
    </row>
    <row r="253" spans="2:16" ht="30" x14ac:dyDescent="0.25">
      <c r="B253" s="23">
        <v>147</v>
      </c>
      <c r="C253" s="24" t="s">
        <v>582</v>
      </c>
      <c r="D253" s="25" t="s">
        <v>583</v>
      </c>
      <c r="E253" s="25" t="s">
        <v>561</v>
      </c>
      <c r="F253" s="26">
        <v>1</v>
      </c>
      <c r="G253" s="27">
        <v>1</v>
      </c>
      <c r="H253" s="28">
        <f>F253 * G253 * 1994.369798</f>
        <v>1994.3697979999999</v>
      </c>
      <c r="I253" s="28">
        <f>F253 * G253 * 72116.55612</f>
        <v>72116.556119999994</v>
      </c>
      <c r="J253" s="28">
        <f>F253 * G253 * 0</f>
        <v>0</v>
      </c>
      <c r="K253" s="28">
        <f>F253 * G253 * 1898.640048</f>
        <v>1898.640048</v>
      </c>
      <c r="L253" s="28">
        <f>F253 * G253 * 7981.004427</f>
        <v>7981.0044269999999</v>
      </c>
      <c r="M253" s="28">
        <f>F253 * G253 * 398.87396</f>
        <v>398.87396000000001</v>
      </c>
      <c r="N253" s="29">
        <f>SUM(H253:M253)</f>
        <v>84389.444352999999</v>
      </c>
      <c r="O253" s="92">
        <f t="shared" ref="O253:O254" si="80">N253*1.07*1.09*1.05</f>
        <v>103344.57939634912</v>
      </c>
      <c r="P253" s="30">
        <f t="shared" ref="P253:P254" si="81">IF($P$10&gt;0,O253/$P$10/12,0)</f>
        <v>0.9249326906915577</v>
      </c>
    </row>
    <row r="254" spans="2:16" ht="30" x14ac:dyDescent="0.25">
      <c r="B254" s="23">
        <v>148</v>
      </c>
      <c r="C254" s="24" t="s">
        <v>584</v>
      </c>
      <c r="D254" s="25" t="s">
        <v>585</v>
      </c>
      <c r="E254" s="25" t="s">
        <v>586</v>
      </c>
      <c r="F254" s="26">
        <v>0.02</v>
      </c>
      <c r="G254" s="27">
        <v>1</v>
      </c>
      <c r="H254" s="28">
        <f>F254 * G254 * 19079.1612</f>
        <v>381.58322399999997</v>
      </c>
      <c r="I254" s="28">
        <f>F254 * G254 * 316757.617945</f>
        <v>6335.1523588999999</v>
      </c>
      <c r="J254" s="28">
        <f>F254 * G254 * 0</f>
        <v>0</v>
      </c>
      <c r="K254" s="28">
        <f>F254 * G254 * 18163.361462</f>
        <v>363.26722924000001</v>
      </c>
      <c r="L254" s="28">
        <f>F254 * G254 * 37170.014764</f>
        <v>743.40029528000002</v>
      </c>
      <c r="M254" s="28">
        <f>F254 * G254 * 3815.83224</f>
        <v>76.316644800000006</v>
      </c>
      <c r="N254" s="29">
        <f>SUM(H254:M254)</f>
        <v>7899.7197522200004</v>
      </c>
      <c r="O254" s="92">
        <f t="shared" si="80"/>
        <v>9674.1153043648956</v>
      </c>
      <c r="P254" s="30">
        <f t="shared" si="81"/>
        <v>8.658321075757075E-2</v>
      </c>
    </row>
    <row r="255" spans="2:16" x14ac:dyDescent="0.25">
      <c r="B255" s="32"/>
      <c r="C255" s="33" t="s">
        <v>587</v>
      </c>
      <c r="D255" s="106" t="s">
        <v>588</v>
      </c>
      <c r="E255" s="106"/>
      <c r="F255" s="106"/>
      <c r="G255" s="106"/>
      <c r="H255" s="106"/>
      <c r="I255" s="106"/>
      <c r="J255" s="106"/>
      <c r="K255" s="106"/>
      <c r="L255" s="106"/>
      <c r="M255" s="106"/>
      <c r="N255" s="106"/>
      <c r="O255" s="106"/>
      <c r="P255" s="106"/>
    </row>
    <row r="256" spans="2:16" x14ac:dyDescent="0.25">
      <c r="B256" s="32"/>
      <c r="C256" s="33" t="s">
        <v>589</v>
      </c>
      <c r="D256" s="107" t="s">
        <v>590</v>
      </c>
      <c r="E256" s="107"/>
      <c r="F256" s="107"/>
      <c r="G256" s="107"/>
      <c r="H256" s="107"/>
      <c r="I256" s="107"/>
      <c r="J256" s="107"/>
      <c r="K256" s="107"/>
      <c r="L256" s="107"/>
      <c r="M256" s="107"/>
      <c r="N256" s="107"/>
      <c r="O256" s="107"/>
      <c r="P256" s="107"/>
    </row>
    <row r="257" spans="2:16" ht="45" x14ac:dyDescent="0.25">
      <c r="B257" s="23">
        <v>149</v>
      </c>
      <c r="C257" s="24" t="s">
        <v>591</v>
      </c>
      <c r="D257" s="25" t="s">
        <v>592</v>
      </c>
      <c r="E257" s="25" t="s">
        <v>114</v>
      </c>
      <c r="F257" s="26">
        <v>2.5000000000000001E-2</v>
      </c>
      <c r="G257" s="27">
        <v>1</v>
      </c>
      <c r="H257" s="28">
        <f>F257 * G257 * 9771.467841</f>
        <v>244.286696025</v>
      </c>
      <c r="I257" s="28">
        <f>F257 * G257 * 2131.087483</f>
        <v>53.277187075000001</v>
      </c>
      <c r="J257" s="28">
        <f>F257 * G257 * 0</f>
        <v>0</v>
      </c>
      <c r="K257" s="28">
        <f>F257 * G257 * 9302.437385</f>
        <v>232.56093462499999</v>
      </c>
      <c r="L257" s="28">
        <f>F257 * G257 * 2226.524235</f>
        <v>55.663105874999999</v>
      </c>
      <c r="M257" s="28">
        <f>F257 * G257 * 1954.293568</f>
        <v>48.857339200000006</v>
      </c>
      <c r="N257" s="29">
        <f>SUM(H257:M257)</f>
        <v>634.64526279999995</v>
      </c>
      <c r="O257" s="92">
        <f>N257*1.07*1.09*1.05</f>
        <v>777.19610850382207</v>
      </c>
      <c r="P257" s="30">
        <f>IF($P$10&gt;0,O257/$P$10/12,0)</f>
        <v>6.9558954328556013E-3</v>
      </c>
    </row>
    <row r="258" spans="2:16" x14ac:dyDescent="0.25">
      <c r="B258" s="32"/>
      <c r="C258" s="33" t="s">
        <v>593</v>
      </c>
      <c r="D258" s="106" t="s">
        <v>594</v>
      </c>
      <c r="E258" s="106"/>
      <c r="F258" s="106"/>
      <c r="G258" s="106"/>
      <c r="H258" s="106"/>
      <c r="I258" s="106"/>
      <c r="J258" s="106"/>
      <c r="K258" s="106"/>
      <c r="L258" s="106"/>
      <c r="M258" s="106"/>
      <c r="N258" s="106"/>
      <c r="O258" s="106"/>
      <c r="P258" s="106"/>
    </row>
    <row r="259" spans="2:16" ht="30" x14ac:dyDescent="0.25">
      <c r="B259" s="23">
        <v>150</v>
      </c>
      <c r="C259" s="24" t="s">
        <v>595</v>
      </c>
      <c r="D259" s="25" t="s">
        <v>596</v>
      </c>
      <c r="E259" s="25" t="s">
        <v>36</v>
      </c>
      <c r="F259" s="26">
        <v>0.02</v>
      </c>
      <c r="G259" s="27">
        <v>1</v>
      </c>
      <c r="H259" s="28">
        <f>F259 * G259 * 17434.50885</f>
        <v>348.69017699999995</v>
      </c>
      <c r="I259" s="28">
        <f>F259 * G259 * 16826.694664</f>
        <v>336.53389327999997</v>
      </c>
      <c r="J259" s="28">
        <f>F259 * G259 * 0</f>
        <v>0</v>
      </c>
      <c r="K259" s="28">
        <f>F259 * G259 * 16597.652425</f>
        <v>331.95304850000002</v>
      </c>
      <c r="L259" s="28">
        <f>F259 * G259 * 5340.179874</f>
        <v>106.80359748000001</v>
      </c>
      <c r="M259" s="28">
        <f>F259 * G259 * 3486.90177</f>
        <v>69.738035400000001</v>
      </c>
      <c r="N259" s="29">
        <f>SUM(H259:M259)</f>
        <v>1193.71875166</v>
      </c>
      <c r="O259" s="92">
        <f t="shared" ref="O259:O263" si="82">N259*1.07*1.09*1.05</f>
        <v>1461.8458890641111</v>
      </c>
      <c r="P259" s="30">
        <f t="shared" ref="P259:P263" si="83">IF($P$10&gt;0,O259/$P$10/12,0)</f>
        <v>1.3083502390220448E-2</v>
      </c>
    </row>
    <row r="260" spans="2:16" ht="30" x14ac:dyDescent="0.25">
      <c r="B260" s="23">
        <v>151</v>
      </c>
      <c r="C260" s="24" t="s">
        <v>597</v>
      </c>
      <c r="D260" s="25" t="s">
        <v>598</v>
      </c>
      <c r="E260" s="25" t="s">
        <v>36</v>
      </c>
      <c r="F260" s="26">
        <v>0.02</v>
      </c>
      <c r="G260" s="27">
        <v>1</v>
      </c>
      <c r="H260" s="28">
        <f>F260 * G260 * 22169.80755</f>
        <v>443.39615100000003</v>
      </c>
      <c r="I260" s="28">
        <f>F260 * G260 * 36609.903529</f>
        <v>732.19807058000004</v>
      </c>
      <c r="J260" s="28">
        <f>F260 * G260 * 0</f>
        <v>0</v>
      </c>
      <c r="K260" s="28">
        <f>F260 * G260 * 21105.656788</f>
        <v>422.11313576000003</v>
      </c>
      <c r="L260" s="28">
        <f>F260 * G260 * 8387.963626</f>
        <v>167.75927252000002</v>
      </c>
      <c r="M260" s="28">
        <f>F260 * G260 * 4433.96151</f>
        <v>88.679230200000006</v>
      </c>
      <c r="N260" s="29">
        <f>SUM(H260:M260)</f>
        <v>1854.1458600599999</v>
      </c>
      <c r="O260" s="92">
        <f t="shared" si="82"/>
        <v>2270.6148324173773</v>
      </c>
      <c r="P260" s="30">
        <f t="shared" si="83"/>
        <v>2.032197429937151E-2</v>
      </c>
    </row>
    <row r="261" spans="2:16" ht="30" x14ac:dyDescent="0.25">
      <c r="B261" s="23">
        <v>152</v>
      </c>
      <c r="C261" s="24" t="s">
        <v>599</v>
      </c>
      <c r="D261" s="25" t="s">
        <v>600</v>
      </c>
      <c r="E261" s="25" t="s">
        <v>36</v>
      </c>
      <c r="F261" s="26">
        <v>0.02</v>
      </c>
      <c r="G261" s="27">
        <v>1</v>
      </c>
      <c r="H261" s="28">
        <f>F261 * G261 * 28627.03305</f>
        <v>572.540661</v>
      </c>
      <c r="I261" s="28">
        <f>F261 * G261 * 98181.586884</f>
        <v>1963.63173768</v>
      </c>
      <c r="J261" s="28">
        <f>F261 * G261 * 0</f>
        <v>0</v>
      </c>
      <c r="K261" s="28">
        <f>F261 * G261 * 27252.935464</f>
        <v>545.05870928000002</v>
      </c>
      <c r="L261" s="28">
        <f>F261 * G261 * 16176.463317</f>
        <v>323.52926633999999</v>
      </c>
      <c r="M261" s="28">
        <f>F261 * G261 * 5725.40661</f>
        <v>114.50813220000001</v>
      </c>
      <c r="N261" s="29">
        <f>SUM(H261:M261)</f>
        <v>3519.2685065000001</v>
      </c>
      <c r="O261" s="92">
        <f t="shared" si="82"/>
        <v>4309.7490020874984</v>
      </c>
      <c r="P261" s="30">
        <f t="shared" si="83"/>
        <v>3.8572199567603715E-2</v>
      </c>
    </row>
    <row r="262" spans="2:16" x14ac:dyDescent="0.25">
      <c r="B262" s="23">
        <v>153</v>
      </c>
      <c r="C262" s="24" t="s">
        <v>601</v>
      </c>
      <c r="D262" s="25" t="s">
        <v>602</v>
      </c>
      <c r="E262" s="25" t="s">
        <v>36</v>
      </c>
      <c r="F262" s="26">
        <v>0.01</v>
      </c>
      <c r="G262" s="27">
        <v>1</v>
      </c>
      <c r="H262" s="28">
        <f>F262 * G262 * 66294.1818</f>
        <v>662.94181800000013</v>
      </c>
      <c r="I262" s="28">
        <f>F262 * G262 * 210685.820044</f>
        <v>2106.85820044</v>
      </c>
      <c r="J262" s="28">
        <f>F262 * G262 * 0</f>
        <v>0</v>
      </c>
      <c r="K262" s="28">
        <f>F262 * G262 * 63112.061074</f>
        <v>631.12061073999996</v>
      </c>
      <c r="L262" s="28">
        <f>F262 * G262 * 35709.666607</f>
        <v>357.09666607000003</v>
      </c>
      <c r="M262" s="28">
        <f>F262 * G262 * 13258.83636</f>
        <v>132.58836360000001</v>
      </c>
      <c r="N262" s="29">
        <f>SUM(H262:M262)</f>
        <v>3890.6056588500001</v>
      </c>
      <c r="O262" s="92">
        <f t="shared" si="82"/>
        <v>4764.4940489125938</v>
      </c>
      <c r="P262" s="30">
        <f t="shared" si="83"/>
        <v>4.2642162038740862E-2</v>
      </c>
    </row>
    <row r="263" spans="2:16" x14ac:dyDescent="0.25">
      <c r="B263" s="23">
        <v>154</v>
      </c>
      <c r="C263" s="24" t="s">
        <v>603</v>
      </c>
      <c r="D263" s="25" t="s">
        <v>604</v>
      </c>
      <c r="E263" s="25" t="s">
        <v>36</v>
      </c>
      <c r="F263" s="26">
        <v>0.01</v>
      </c>
      <c r="G263" s="27">
        <v>1</v>
      </c>
      <c r="H263" s="28">
        <f>F263 * G263 * 90831.6387</f>
        <v>908.31638699999996</v>
      </c>
      <c r="I263" s="28">
        <f>F263 * G263 * 502096.930816</f>
        <v>5020.9693081599999</v>
      </c>
      <c r="J263" s="28">
        <f>F263 * G263 * 0</f>
        <v>0</v>
      </c>
      <c r="K263" s="28">
        <f>F263 * G263 * 86471.720042</f>
        <v>864.71720042000004</v>
      </c>
      <c r="L263" s="28">
        <f>F263 * G263 * 71337.0304039999</f>
        <v>713.37030403999904</v>
      </c>
      <c r="M263" s="28">
        <f>F263 * G263 * 18166.32774</f>
        <v>181.6632774</v>
      </c>
      <c r="N263" s="29">
        <f>SUM(H263:M263)</f>
        <v>7689.0364770199985</v>
      </c>
      <c r="O263" s="92">
        <f t="shared" si="82"/>
        <v>9416.1094053058459</v>
      </c>
      <c r="P263" s="30">
        <f t="shared" si="83"/>
        <v>8.4274061193801653E-2</v>
      </c>
    </row>
    <row r="264" spans="2:16" ht="13.9" customHeight="1" x14ac:dyDescent="0.25">
      <c r="B264" s="21"/>
      <c r="C264" s="22" t="s">
        <v>605</v>
      </c>
      <c r="D264" s="105" t="s">
        <v>606</v>
      </c>
      <c r="E264" s="105"/>
      <c r="F264" s="105"/>
      <c r="G264" s="105"/>
      <c r="H264" s="105"/>
      <c r="I264" s="105"/>
      <c r="J264" s="105"/>
      <c r="K264" s="105"/>
      <c r="L264" s="105"/>
      <c r="M264" s="105"/>
      <c r="N264" s="105"/>
      <c r="O264" s="105"/>
      <c r="P264" s="105"/>
    </row>
    <row r="265" spans="2:16" x14ac:dyDescent="0.25">
      <c r="B265" s="32"/>
      <c r="C265" s="33" t="s">
        <v>607</v>
      </c>
      <c r="D265" s="106" t="s">
        <v>608</v>
      </c>
      <c r="E265" s="106"/>
      <c r="F265" s="106"/>
      <c r="G265" s="106"/>
      <c r="H265" s="106"/>
      <c r="I265" s="106"/>
      <c r="J265" s="106"/>
      <c r="K265" s="106"/>
      <c r="L265" s="106"/>
      <c r="M265" s="106"/>
      <c r="N265" s="106"/>
      <c r="O265" s="106"/>
      <c r="P265" s="106"/>
    </row>
    <row r="266" spans="2:16" ht="45" x14ac:dyDescent="0.25">
      <c r="B266" s="23">
        <v>155</v>
      </c>
      <c r="C266" s="24" t="s">
        <v>609</v>
      </c>
      <c r="D266" s="25" t="s">
        <v>610</v>
      </c>
      <c r="E266" s="25" t="s">
        <v>491</v>
      </c>
      <c r="F266" s="26">
        <v>0.04</v>
      </c>
      <c r="G266" s="27">
        <v>1</v>
      </c>
      <c r="H266" s="28">
        <f>F266 * G266 * 13566.6558</f>
        <v>542.66623200000004</v>
      </c>
      <c r="I266" s="28">
        <f>F266 * G266 * 19890.975668</f>
        <v>795.63902671999995</v>
      </c>
      <c r="J266" s="28">
        <f>F266 * G266 * 0</f>
        <v>0</v>
      </c>
      <c r="K266" s="28">
        <f>F266 * G266 * 12915.456322</f>
        <v>516.61825288</v>
      </c>
      <c r="L266" s="28">
        <f>F266 * G266 * 4869.174218</f>
        <v>194.76696872000002</v>
      </c>
      <c r="M266" s="28">
        <f>F266 * G266 * 2713.33116</f>
        <v>108.53324640000001</v>
      </c>
      <c r="N266" s="29">
        <f>SUM(H266:M266)</f>
        <v>2158.2237267199998</v>
      </c>
      <c r="O266" s="92">
        <f t="shared" ref="O266:O269" si="84">N266*1.07*1.09*1.05</f>
        <v>2642.9931490972131</v>
      </c>
      <c r="P266" s="30">
        <f t="shared" ref="P266:P269" si="85">IF($P$10&gt;0,O266/$P$10/12,0)</f>
        <v>2.3654755567762264E-2</v>
      </c>
    </row>
    <row r="267" spans="2:16" ht="45" x14ac:dyDescent="0.25">
      <c r="B267" s="23">
        <v>156</v>
      </c>
      <c r="C267" s="24" t="s">
        <v>611</v>
      </c>
      <c r="D267" s="25" t="s">
        <v>612</v>
      </c>
      <c r="E267" s="25" t="s">
        <v>491</v>
      </c>
      <c r="F267" s="26">
        <v>0.02</v>
      </c>
      <c r="G267" s="27">
        <v>1</v>
      </c>
      <c r="H267" s="28">
        <f>F267 * G267 * 14379.725925</f>
        <v>287.59451849999999</v>
      </c>
      <c r="I267" s="28">
        <f>F267 * G267 * 33554.067547</f>
        <v>671.08135093999999</v>
      </c>
      <c r="J267" s="28">
        <f>F267 * G267 * 0</f>
        <v>0</v>
      </c>
      <c r="K267" s="28">
        <f>F267 * G267 * 13689.49908</f>
        <v>273.78998159999998</v>
      </c>
      <c r="L267" s="28">
        <f>F267 * G267 * 6470.445718</f>
        <v>129.40891436000001</v>
      </c>
      <c r="M267" s="28">
        <f>F267 * G267 * 2875.945185</f>
        <v>57.518903700000003</v>
      </c>
      <c r="N267" s="29">
        <f>SUM(H267:M267)</f>
        <v>1419.3936690999999</v>
      </c>
      <c r="O267" s="92">
        <f t="shared" si="84"/>
        <v>1738.2107780848969</v>
      </c>
      <c r="P267" s="30">
        <f t="shared" si="85"/>
        <v>1.5556964684109269E-2</v>
      </c>
    </row>
    <row r="268" spans="2:16" ht="45" x14ac:dyDescent="0.25">
      <c r="B268" s="23">
        <v>157</v>
      </c>
      <c r="C268" s="24" t="s">
        <v>613</v>
      </c>
      <c r="D268" s="25" t="s">
        <v>614</v>
      </c>
      <c r="E268" s="25" t="s">
        <v>491</v>
      </c>
      <c r="F268" s="26">
        <v>0.05</v>
      </c>
      <c r="G268" s="27">
        <v>1</v>
      </c>
      <c r="H268" s="28">
        <f>F268 * G268 * 13566.6558</f>
        <v>678.33279000000005</v>
      </c>
      <c r="I268" s="28">
        <f>F268 * G268 * 19890.975668</f>
        <v>994.54878340000005</v>
      </c>
      <c r="J268" s="28">
        <f>F268 * G268 * 0</f>
        <v>0</v>
      </c>
      <c r="K268" s="28">
        <f>F268 * G268 * 12915.456322</f>
        <v>645.7728161</v>
      </c>
      <c r="L268" s="28">
        <f>F268 * G268 * 4869.174218</f>
        <v>243.45871090000003</v>
      </c>
      <c r="M268" s="28">
        <f>F268 * G268 * 2713.33116</f>
        <v>135.66655800000001</v>
      </c>
      <c r="N268" s="29">
        <f>SUM(H268:M268)</f>
        <v>2697.7796583999998</v>
      </c>
      <c r="O268" s="92">
        <f t="shared" si="84"/>
        <v>3303.7414363715161</v>
      </c>
      <c r="P268" s="30">
        <f t="shared" si="85"/>
        <v>2.9568444459702827E-2</v>
      </c>
    </row>
    <row r="269" spans="2:16" ht="45" x14ac:dyDescent="0.25">
      <c r="B269" s="23">
        <v>158</v>
      </c>
      <c r="C269" s="24" t="s">
        <v>615</v>
      </c>
      <c r="D269" s="25" t="s">
        <v>616</v>
      </c>
      <c r="E269" s="25" t="s">
        <v>491</v>
      </c>
      <c r="F269" s="26">
        <v>0.08</v>
      </c>
      <c r="G269" s="27">
        <v>1</v>
      </c>
      <c r="H269" s="28">
        <f>F269 * G269 * 14379.725925</f>
        <v>1150.378074</v>
      </c>
      <c r="I269" s="28">
        <f>F269 * G269 * 33554.067547</f>
        <v>2684.32540376</v>
      </c>
      <c r="J269" s="28">
        <f>F269 * G269 * 0</f>
        <v>0</v>
      </c>
      <c r="K269" s="28">
        <f>F269 * G269 * 13689.49908</f>
        <v>1095.1599263999999</v>
      </c>
      <c r="L269" s="28">
        <f>F269 * G269 * 6470.445718</f>
        <v>517.63565744000005</v>
      </c>
      <c r="M269" s="28">
        <f>F269 * G269 * 2875.945185</f>
        <v>230.07561480000001</v>
      </c>
      <c r="N269" s="29">
        <f>SUM(H269:M269)</f>
        <v>5677.5746763999996</v>
      </c>
      <c r="O269" s="92">
        <f t="shared" si="84"/>
        <v>6952.8431123395876</v>
      </c>
      <c r="P269" s="30">
        <f t="shared" si="85"/>
        <v>6.2227858736437075E-2</v>
      </c>
    </row>
    <row r="270" spans="2:16" x14ac:dyDescent="0.25">
      <c r="B270" s="32"/>
      <c r="C270" s="33" t="s">
        <v>617</v>
      </c>
      <c r="D270" s="106" t="s">
        <v>618</v>
      </c>
      <c r="E270" s="106"/>
      <c r="F270" s="106"/>
      <c r="G270" s="106"/>
      <c r="H270" s="106"/>
      <c r="I270" s="106"/>
      <c r="J270" s="106"/>
      <c r="K270" s="106"/>
      <c r="L270" s="106"/>
      <c r="M270" s="106"/>
      <c r="N270" s="106"/>
      <c r="O270" s="106"/>
      <c r="P270" s="106"/>
    </row>
    <row r="271" spans="2:16" ht="45" x14ac:dyDescent="0.25">
      <c r="B271" s="23">
        <v>159</v>
      </c>
      <c r="C271" s="24" t="s">
        <v>619</v>
      </c>
      <c r="D271" s="25" t="s">
        <v>620</v>
      </c>
      <c r="E271" s="25" t="s">
        <v>491</v>
      </c>
      <c r="F271" s="26">
        <v>0.03</v>
      </c>
      <c r="G271" s="27">
        <v>1</v>
      </c>
      <c r="H271" s="28">
        <f>F271 * G271 * 51293.1096</f>
        <v>1538.7932880000001</v>
      </c>
      <c r="I271" s="28">
        <f>F271 * G271 * 138373.176918</f>
        <v>4151.1953075400006</v>
      </c>
      <c r="J271" s="28">
        <f>F271 * G271 * 0</f>
        <v>0</v>
      </c>
      <c r="K271" s="28">
        <f>F271 * G271 * 48831.040339</f>
        <v>1464.93121017</v>
      </c>
      <c r="L271" s="28">
        <f>F271 * G271 * 25042.21932</f>
        <v>751.2665796</v>
      </c>
      <c r="M271" s="28">
        <f>F271 * G271 * 10258.62192</f>
        <v>307.75865759999999</v>
      </c>
      <c r="N271" s="29">
        <f>SUM(H271:M271)</f>
        <v>8213.9450429099998</v>
      </c>
      <c r="O271" s="92">
        <f t="shared" ref="O271:O272" si="86">N271*1.07*1.09*1.05</f>
        <v>10058.920308723231</v>
      </c>
      <c r="P271" s="30">
        <f t="shared" ref="P271:P272" si="87">IF($P$10&gt;0,O271/$P$10/12,0)</f>
        <v>9.0027210724977894E-2</v>
      </c>
    </row>
    <row r="272" spans="2:16" ht="45" x14ac:dyDescent="0.25">
      <c r="B272" s="23">
        <v>160</v>
      </c>
      <c r="C272" s="24" t="s">
        <v>621</v>
      </c>
      <c r="D272" s="25" t="s">
        <v>622</v>
      </c>
      <c r="E272" s="25" t="s">
        <v>491</v>
      </c>
      <c r="F272" s="26">
        <v>0.03</v>
      </c>
      <c r="G272" s="27">
        <v>1</v>
      </c>
      <c r="H272" s="28">
        <f>F272 * G272 * 54243.392625</f>
        <v>1627.30177875</v>
      </c>
      <c r="I272" s="28">
        <f>F272 * G272 * 206723.073676</f>
        <v>6201.6922102799999</v>
      </c>
      <c r="J272" s="28">
        <f>F272 * G272 * 0</f>
        <v>0</v>
      </c>
      <c r="K272" s="28">
        <f>F272 * G272 * 51639.709779</f>
        <v>1549.1912933699998</v>
      </c>
      <c r="L272" s="28">
        <f>F272 * G272 * 32823.648488</f>
        <v>984.70945463999988</v>
      </c>
      <c r="M272" s="28">
        <f>F272 * G272 * 10848.678525</f>
        <v>325.46035574999996</v>
      </c>
      <c r="N272" s="29">
        <f>SUM(H272:M272)</f>
        <v>10688.35509279</v>
      </c>
      <c r="O272" s="92">
        <f t="shared" si="86"/>
        <v>13089.119971957025</v>
      </c>
      <c r="P272" s="30">
        <f t="shared" si="87"/>
        <v>0.11714745974257174</v>
      </c>
    </row>
    <row r="273" spans="2:16" x14ac:dyDescent="0.25">
      <c r="B273" s="32"/>
      <c r="C273" s="33" t="s">
        <v>623</v>
      </c>
      <c r="D273" s="106" t="s">
        <v>624</v>
      </c>
      <c r="E273" s="106"/>
      <c r="F273" s="106"/>
      <c r="G273" s="106"/>
      <c r="H273" s="106"/>
      <c r="I273" s="106"/>
      <c r="J273" s="106"/>
      <c r="K273" s="106"/>
      <c r="L273" s="106"/>
      <c r="M273" s="106"/>
      <c r="N273" s="106"/>
      <c r="O273" s="106"/>
      <c r="P273" s="106"/>
    </row>
    <row r="274" spans="2:16" x14ac:dyDescent="0.25">
      <c r="B274" s="32"/>
      <c r="C274" s="33" t="s">
        <v>625</v>
      </c>
      <c r="D274" s="107" t="s">
        <v>626</v>
      </c>
      <c r="E274" s="107"/>
      <c r="F274" s="107"/>
      <c r="G274" s="107"/>
      <c r="H274" s="107"/>
      <c r="I274" s="107"/>
      <c r="J274" s="107"/>
      <c r="K274" s="107"/>
      <c r="L274" s="107"/>
      <c r="M274" s="107"/>
      <c r="N274" s="107"/>
      <c r="O274" s="107"/>
      <c r="P274" s="107"/>
    </row>
    <row r="275" spans="2:16" ht="30" x14ac:dyDescent="0.25">
      <c r="B275" s="23">
        <v>161</v>
      </c>
      <c r="C275" s="24" t="s">
        <v>627</v>
      </c>
      <c r="D275" s="25" t="s">
        <v>628</v>
      </c>
      <c r="E275" s="25" t="s">
        <v>629</v>
      </c>
      <c r="F275" s="26">
        <v>0.06</v>
      </c>
      <c r="G275" s="27">
        <v>1</v>
      </c>
      <c r="H275" s="28">
        <f>F275 * G275 * 9312.263</f>
        <v>558.73577999999998</v>
      </c>
      <c r="I275" s="28">
        <f>F275 * G275 * 1542.38468</f>
        <v>92.543080799999984</v>
      </c>
      <c r="J275" s="28">
        <f>F275 * G275 * 0</f>
        <v>0</v>
      </c>
      <c r="K275" s="28">
        <f>F275 * G275 * 8865.274376</f>
        <v>531.9164625599999</v>
      </c>
      <c r="L275" s="28">
        <f>F275 * G275 * 2070.591816</f>
        <v>124.23550896</v>
      </c>
      <c r="M275" s="28">
        <f>F275 * G275 * 1862.4526</f>
        <v>111.747156</v>
      </c>
      <c r="N275" s="29">
        <f>SUM(H275:M275)</f>
        <v>1419.1779883199997</v>
      </c>
      <c r="O275" s="92">
        <f t="shared" ref="O275:O278" si="88">N275*1.07*1.09*1.05</f>
        <v>1737.9466521664967</v>
      </c>
      <c r="P275" s="30">
        <f t="shared" ref="P275:P278" si="89">IF($P$10&gt;0,O275/$P$10/12,0)</f>
        <v>1.555460076044908E-2</v>
      </c>
    </row>
    <row r="276" spans="2:16" ht="30" x14ac:dyDescent="0.25">
      <c r="B276" s="23">
        <v>162</v>
      </c>
      <c r="C276" s="24" t="s">
        <v>630</v>
      </c>
      <c r="D276" s="25" t="s">
        <v>631</v>
      </c>
      <c r="E276" s="25" t="s">
        <v>632</v>
      </c>
      <c r="F276" s="26">
        <v>0.15</v>
      </c>
      <c r="G276" s="27">
        <v>1</v>
      </c>
      <c r="H276" s="28">
        <f>F276 * G276 * 2044.64905</f>
        <v>306.69735750000001</v>
      </c>
      <c r="I276" s="28">
        <f>F276 * G276 * 732.256258</f>
        <v>109.8384387</v>
      </c>
      <c r="J276" s="28">
        <f>F276 * G276 * 0</f>
        <v>0</v>
      </c>
      <c r="K276" s="28">
        <f>F276 * G276 * 1946.505896</f>
        <v>291.97588439999998</v>
      </c>
      <c r="L276" s="28">
        <f>F276 * G276 * 495.958176</f>
        <v>74.393726399999991</v>
      </c>
      <c r="M276" s="28">
        <f>F276 * G276 * 408.92981</f>
        <v>61.339471499999995</v>
      </c>
      <c r="N276" s="29">
        <f>SUM(H276:M276)</f>
        <v>844.24487849999991</v>
      </c>
      <c r="O276" s="92">
        <f t="shared" si="88"/>
        <v>1033.8749418842776</v>
      </c>
      <c r="P276" s="30">
        <f t="shared" si="89"/>
        <v>9.2531677754293992E-3</v>
      </c>
    </row>
    <row r="277" spans="2:16" ht="30" x14ac:dyDescent="0.25">
      <c r="B277" s="23">
        <v>163</v>
      </c>
      <c r="C277" s="24" t="s">
        <v>633</v>
      </c>
      <c r="D277" s="25" t="s">
        <v>634</v>
      </c>
      <c r="E277" s="25" t="s">
        <v>635</v>
      </c>
      <c r="F277" s="26">
        <v>0.03</v>
      </c>
      <c r="G277" s="27">
        <v>1</v>
      </c>
      <c r="H277" s="28">
        <f>F277 * G277 * 6275.6555</f>
        <v>188.26966499999997</v>
      </c>
      <c r="I277" s="28">
        <f>F277 * G277 * 110947.389984</f>
        <v>3328.4216995199995</v>
      </c>
      <c r="J277" s="28">
        <f>F277 * G277 * 0</f>
        <v>0</v>
      </c>
      <c r="K277" s="28">
        <f>F277 * G277 * 5974.424036</f>
        <v>179.23272108</v>
      </c>
      <c r="L277" s="28">
        <f>F277 * G277 * 12935.7343</f>
        <v>388.07202899999999</v>
      </c>
      <c r="M277" s="28">
        <f>F277 * G277 * 1255.1311</f>
        <v>37.653933000000002</v>
      </c>
      <c r="N277" s="29">
        <f>SUM(H277:M277)</f>
        <v>4121.6500475999992</v>
      </c>
      <c r="O277" s="92">
        <f t="shared" si="88"/>
        <v>5047.4344730416733</v>
      </c>
      <c r="P277" s="30">
        <f t="shared" si="89"/>
        <v>4.5174475289457568E-2</v>
      </c>
    </row>
    <row r="278" spans="2:16" ht="30" x14ac:dyDescent="0.25">
      <c r="B278" s="23">
        <v>164</v>
      </c>
      <c r="C278" s="24" t="s">
        <v>636</v>
      </c>
      <c r="D278" s="25" t="s">
        <v>637</v>
      </c>
      <c r="E278" s="25" t="s">
        <v>638</v>
      </c>
      <c r="F278" s="26">
        <v>0.02</v>
      </c>
      <c r="G278" s="27">
        <v>1</v>
      </c>
      <c r="H278" s="28">
        <f>F278 * G278 * 10729.3465</f>
        <v>214.58693</v>
      </c>
      <c r="I278" s="28">
        <f>F278 * G278 * 3247.407215</f>
        <v>64.94814430000001</v>
      </c>
      <c r="J278" s="28">
        <f>F278 * G278 * 0</f>
        <v>0</v>
      </c>
      <c r="K278" s="28">
        <f>F278 * G278 * 10214.3378679999</f>
        <v>204.28675735999801</v>
      </c>
      <c r="L278" s="28">
        <f>F278 * G278 * 2540.064616</f>
        <v>50.801292320000002</v>
      </c>
      <c r="M278" s="28">
        <f>F278 * G278 * 2145.8693</f>
        <v>42.917386</v>
      </c>
      <c r="N278" s="29">
        <f>SUM(H278:M278)</f>
        <v>577.54050997999798</v>
      </c>
      <c r="O278" s="92">
        <f t="shared" si="88"/>
        <v>707.26477162915535</v>
      </c>
      <c r="P278" s="30">
        <f t="shared" si="89"/>
        <v>6.3300108440657588E-3</v>
      </c>
    </row>
    <row r="279" spans="2:16" x14ac:dyDescent="0.25">
      <c r="B279" s="32"/>
      <c r="C279" s="33" t="s">
        <v>639</v>
      </c>
      <c r="D279" s="106" t="s">
        <v>640</v>
      </c>
      <c r="E279" s="106"/>
      <c r="F279" s="106"/>
      <c r="G279" s="106"/>
      <c r="H279" s="106"/>
      <c r="I279" s="106"/>
      <c r="J279" s="106"/>
      <c r="K279" s="106"/>
      <c r="L279" s="106"/>
      <c r="M279" s="106"/>
      <c r="N279" s="106"/>
      <c r="O279" s="106"/>
      <c r="P279" s="106"/>
    </row>
    <row r="280" spans="2:16" ht="45" x14ac:dyDescent="0.25">
      <c r="B280" s="23">
        <v>165</v>
      </c>
      <c r="C280" s="24" t="s">
        <v>641</v>
      </c>
      <c r="D280" s="25" t="s">
        <v>642</v>
      </c>
      <c r="E280" s="25" t="s">
        <v>643</v>
      </c>
      <c r="F280" s="26">
        <v>2.9</v>
      </c>
      <c r="G280" s="27">
        <v>1</v>
      </c>
      <c r="H280" s="28">
        <f>F280 * G280 * 66.805365</f>
        <v>193.73555849999997</v>
      </c>
      <c r="I280" s="28">
        <f>F280 * G280 * 0</f>
        <v>0</v>
      </c>
      <c r="J280" s="28">
        <f>F280 * G280 * 0</f>
        <v>0</v>
      </c>
      <c r="K280" s="28">
        <f>F280 * G280 * 63.598707</f>
        <v>184.43625029999998</v>
      </c>
      <c r="L280" s="28">
        <f>F280 * G280 * 13.692427</f>
        <v>39.708038299999998</v>
      </c>
      <c r="M280" s="28">
        <f>F280 * G280 * 13.361073</f>
        <v>38.747111699999998</v>
      </c>
      <c r="N280" s="29">
        <f>SUM(H280:M280)</f>
        <v>456.62695879999995</v>
      </c>
      <c r="O280" s="92">
        <f t="shared" ref="O280:O281" si="90">N280*1.07*1.09*1.05</f>
        <v>559.19222315086211</v>
      </c>
      <c r="P280" s="30">
        <f t="shared" ref="P280:P281" si="91">IF($P$10&gt;0,O280/$P$10/12,0)</f>
        <v>5.0047633905314689E-3</v>
      </c>
    </row>
    <row r="281" spans="2:16" ht="45" x14ac:dyDescent="0.25">
      <c r="B281" s="23">
        <v>166</v>
      </c>
      <c r="C281" s="24" t="s">
        <v>644</v>
      </c>
      <c r="D281" s="25" t="s">
        <v>645</v>
      </c>
      <c r="E281" s="25" t="s">
        <v>643</v>
      </c>
      <c r="F281" s="26">
        <v>3.06</v>
      </c>
      <c r="G281" s="27">
        <v>1</v>
      </c>
      <c r="H281" s="28">
        <f>F281 * G281 * 105.26906</f>
        <v>322.12332359999999</v>
      </c>
      <c r="I281" s="28">
        <f>F281 * G281 * 0</f>
        <v>0</v>
      </c>
      <c r="J281" s="28">
        <f>F281 * G281 * 0</f>
        <v>0</v>
      </c>
      <c r="K281" s="28">
        <f>F281 * G281 * 100.216145</f>
        <v>306.66140369999999</v>
      </c>
      <c r="L281" s="28">
        <f>F281 * G281 * 21.575947</f>
        <v>66.022397819999995</v>
      </c>
      <c r="M281" s="28">
        <f>F281 * G281 * 21.053812</f>
        <v>64.42466472000001</v>
      </c>
      <c r="N281" s="29">
        <f>SUM(H281:M281)</f>
        <v>759.23178984000003</v>
      </c>
      <c r="O281" s="92">
        <f t="shared" si="90"/>
        <v>929.7666383149118</v>
      </c>
      <c r="P281" s="30">
        <f t="shared" si="91"/>
        <v>8.3213997629587918E-3</v>
      </c>
    </row>
    <row r="282" spans="2:16" x14ac:dyDescent="0.25">
      <c r="B282" s="32"/>
      <c r="C282" s="33" t="s">
        <v>646</v>
      </c>
      <c r="D282" s="106" t="s">
        <v>647</v>
      </c>
      <c r="E282" s="106"/>
      <c r="F282" s="106"/>
      <c r="G282" s="106"/>
      <c r="H282" s="106"/>
      <c r="I282" s="106"/>
      <c r="J282" s="106"/>
      <c r="K282" s="106"/>
      <c r="L282" s="106"/>
      <c r="M282" s="106"/>
      <c r="N282" s="106"/>
      <c r="O282" s="106"/>
      <c r="P282" s="106"/>
    </row>
    <row r="283" spans="2:16" ht="45" x14ac:dyDescent="0.25">
      <c r="B283" s="23">
        <v>167</v>
      </c>
      <c r="C283" s="24" t="s">
        <v>648</v>
      </c>
      <c r="D283" s="25" t="s">
        <v>649</v>
      </c>
      <c r="E283" s="25" t="s">
        <v>114</v>
      </c>
      <c r="F283" s="26">
        <v>0.05</v>
      </c>
      <c r="G283" s="27">
        <v>1</v>
      </c>
      <c r="H283" s="28">
        <f>F283 * G283 * 15376.421476</f>
        <v>768.82107380000002</v>
      </c>
      <c r="I283" s="28">
        <f>F283 * G283 * 3557.504725</f>
        <v>177.87523625</v>
      </c>
      <c r="J283" s="28">
        <f>F283 * G283 * 0</f>
        <v>0</v>
      </c>
      <c r="K283" s="28">
        <f>F283 * G283 * 14638.3532449999</f>
        <v>731.91766224999503</v>
      </c>
      <c r="L283" s="28">
        <f>F283 * G283 * 3525.089342</f>
        <v>176.25446710000003</v>
      </c>
      <c r="M283" s="28">
        <f>F283 * G283 * 3075.284295</f>
        <v>153.76421475000001</v>
      </c>
      <c r="N283" s="29">
        <f>SUM(H283:M283)</f>
        <v>2008.6326541499952</v>
      </c>
      <c r="O283" s="92">
        <f>N283*1.07*1.09*1.05</f>
        <v>2459.8016777618968</v>
      </c>
      <c r="P283" s="30">
        <f>IF($P$10&gt;0,O283/$P$10/12,0)</f>
        <v>2.2015194194697104E-2</v>
      </c>
    </row>
    <row r="284" spans="2:16" x14ac:dyDescent="0.25">
      <c r="B284" s="32"/>
      <c r="C284" s="33" t="s">
        <v>650</v>
      </c>
      <c r="D284" s="106" t="s">
        <v>651</v>
      </c>
      <c r="E284" s="106"/>
      <c r="F284" s="106"/>
      <c r="G284" s="106"/>
      <c r="H284" s="106"/>
      <c r="I284" s="106"/>
      <c r="J284" s="106"/>
      <c r="K284" s="106"/>
      <c r="L284" s="106"/>
      <c r="M284" s="106"/>
      <c r="N284" s="106"/>
      <c r="O284" s="106"/>
      <c r="P284" s="106"/>
    </row>
    <row r="285" spans="2:16" ht="45" x14ac:dyDescent="0.25">
      <c r="B285" s="23">
        <v>168</v>
      </c>
      <c r="C285" s="24" t="s">
        <v>652</v>
      </c>
      <c r="D285" s="25" t="s">
        <v>653</v>
      </c>
      <c r="E285" s="25" t="s">
        <v>654</v>
      </c>
      <c r="F285" s="26">
        <v>0.03</v>
      </c>
      <c r="G285" s="27">
        <v>1</v>
      </c>
      <c r="H285" s="28">
        <f>F285 * G285 * 13764.2656</f>
        <v>412.92796800000002</v>
      </c>
      <c r="I285" s="28">
        <f>F285 * G285 * 0</f>
        <v>0</v>
      </c>
      <c r="J285" s="28">
        <f>F285 * G285 * 0</f>
        <v>0</v>
      </c>
      <c r="K285" s="28">
        <f>F285 * G285 * 13103.5808509999</f>
        <v>393.10742552999699</v>
      </c>
      <c r="L285" s="28">
        <f>F285 * G285 * 2821.123877</f>
        <v>84.633716309999997</v>
      </c>
      <c r="M285" s="28">
        <f>F285 * G285 * 2752.85312</f>
        <v>82.58559360000001</v>
      </c>
      <c r="N285" s="29">
        <f>SUM(H285:M285)</f>
        <v>973.254703439997</v>
      </c>
      <c r="O285" s="92">
        <f t="shared" ref="O285:O286" si="92">N285*1.07*1.09*1.05</f>
        <v>1191.8623086531722</v>
      </c>
      <c r="P285" s="30">
        <f t="shared" ref="P285:P286" si="93">IF($P$10&gt;0,O285/$P$10/12,0)</f>
        <v>1.0667152728432071E-2</v>
      </c>
    </row>
    <row r="286" spans="2:16" ht="45" x14ac:dyDescent="0.25">
      <c r="B286" s="23">
        <v>169</v>
      </c>
      <c r="C286" s="24" t="s">
        <v>655</v>
      </c>
      <c r="D286" s="25" t="s">
        <v>656</v>
      </c>
      <c r="E286" s="25" t="s">
        <v>654</v>
      </c>
      <c r="F286" s="26">
        <v>0.02</v>
      </c>
      <c r="G286" s="27">
        <v>1</v>
      </c>
      <c r="H286" s="28">
        <f>F286 * G286 * 17065.2886</f>
        <v>341.30577199999999</v>
      </c>
      <c r="I286" s="28">
        <f>F286 * G286 * 0</f>
        <v>0</v>
      </c>
      <c r="J286" s="28">
        <f>F286 * G286 * 0</f>
        <v>0</v>
      </c>
      <c r="K286" s="28">
        <f>F286 * G286 * 16246.154747</f>
        <v>324.92309494</v>
      </c>
      <c r="L286" s="28">
        <f>F286 * G286 * 3497.701552</f>
        <v>69.954031040000004</v>
      </c>
      <c r="M286" s="28">
        <f>F286 * G286 * 3413.05772</f>
        <v>68.261154399999995</v>
      </c>
      <c r="N286" s="29">
        <f>SUM(H286:M286)</f>
        <v>804.44405238000002</v>
      </c>
      <c r="O286" s="92">
        <f t="shared" si="92"/>
        <v>985.13425320533395</v>
      </c>
      <c r="P286" s="30">
        <f t="shared" si="93"/>
        <v>8.8169392224728277E-3</v>
      </c>
    </row>
    <row r="287" spans="2:16" ht="13.9" customHeight="1" x14ac:dyDescent="0.25">
      <c r="B287" s="21"/>
      <c r="C287" s="22" t="s">
        <v>327</v>
      </c>
      <c r="D287" s="105" t="s">
        <v>328</v>
      </c>
      <c r="E287" s="105"/>
      <c r="F287" s="105"/>
      <c r="G287" s="105"/>
      <c r="H287" s="105"/>
      <c r="I287" s="105"/>
      <c r="J287" s="105"/>
      <c r="K287" s="105"/>
      <c r="L287" s="105"/>
      <c r="M287" s="105"/>
      <c r="N287" s="105"/>
      <c r="O287" s="105"/>
      <c r="P287" s="105"/>
    </row>
    <row r="288" spans="2:16" x14ac:dyDescent="0.25">
      <c r="B288" s="32"/>
      <c r="C288" s="33" t="s">
        <v>657</v>
      </c>
      <c r="D288" s="106" t="s">
        <v>658</v>
      </c>
      <c r="E288" s="106"/>
      <c r="F288" s="106"/>
      <c r="G288" s="106"/>
      <c r="H288" s="106"/>
      <c r="I288" s="106"/>
      <c r="J288" s="106"/>
      <c r="K288" s="106"/>
      <c r="L288" s="106"/>
      <c r="M288" s="106"/>
      <c r="N288" s="106"/>
      <c r="O288" s="106"/>
      <c r="P288" s="106"/>
    </row>
    <row r="289" spans="2:16" ht="30" x14ac:dyDescent="0.25">
      <c r="B289" s="23">
        <v>170</v>
      </c>
      <c r="C289" s="24" t="s">
        <v>659</v>
      </c>
      <c r="D289" s="25" t="s">
        <v>660</v>
      </c>
      <c r="E289" s="25" t="s">
        <v>661</v>
      </c>
      <c r="F289" s="26">
        <v>1.63</v>
      </c>
      <c r="G289" s="27">
        <v>1</v>
      </c>
      <c r="H289" s="28">
        <f>F289 * G289 * 13682.472</f>
        <v>22302.429359999998</v>
      </c>
      <c r="I289" s="28">
        <f>F289 * G289 * 0</f>
        <v>0</v>
      </c>
      <c r="J289" s="28">
        <f>F289 * G289 * 0</f>
        <v>0</v>
      </c>
      <c r="K289" s="28">
        <f>F289 * G289 * 13025.713344</f>
        <v>21231.912750719999</v>
      </c>
      <c r="L289" s="28">
        <f>F289 * G289 * 2804.359461</f>
        <v>4571.1059214299994</v>
      </c>
      <c r="M289" s="28">
        <f>F289 * G289 * 2736.4944</f>
        <v>4460.4858720000002</v>
      </c>
      <c r="N289" s="29">
        <f>SUM(H289:M289)</f>
        <v>52565.933904149992</v>
      </c>
      <c r="O289" s="92">
        <f t="shared" ref="O289:O292" si="94">N289*1.07*1.09*1.05</f>
        <v>64373.031148030648</v>
      </c>
      <c r="P289" s="30">
        <f t="shared" ref="P289:P292" si="95">IF($P$10&gt;0,O289/$P$10/12,0)</f>
        <v>0.57613782218192322</v>
      </c>
    </row>
    <row r="290" spans="2:16" x14ac:dyDescent="0.25">
      <c r="B290" s="23">
        <v>171</v>
      </c>
      <c r="C290" s="24" t="s">
        <v>662</v>
      </c>
      <c r="D290" s="25" t="s">
        <v>663</v>
      </c>
      <c r="E290" s="25" t="s">
        <v>664</v>
      </c>
      <c r="F290" s="26">
        <v>468</v>
      </c>
      <c r="G290" s="27">
        <v>1</v>
      </c>
      <c r="H290" s="28">
        <f>F290 * G290 * 198.395844</f>
        <v>92849.254992000002</v>
      </c>
      <c r="I290" s="28">
        <f>F290 * G290 * 0</f>
        <v>0</v>
      </c>
      <c r="J290" s="28">
        <f>F290 * G290 * 0</f>
        <v>0</v>
      </c>
      <c r="K290" s="28">
        <f>F290 * G290 * 188.872844</f>
        <v>88392.490991999992</v>
      </c>
      <c r="L290" s="28">
        <f>F290 * G290 * 40.663212</f>
        <v>19030.383216000002</v>
      </c>
      <c r="M290" s="28">
        <f>F290 * G290 * 39.679169</f>
        <v>18569.851092000001</v>
      </c>
      <c r="N290" s="29">
        <f>SUM(H290:M290)</f>
        <v>218841.98029199996</v>
      </c>
      <c r="O290" s="92">
        <f t="shared" si="94"/>
        <v>267997.17169528763</v>
      </c>
      <c r="P290" s="30">
        <f t="shared" si="95"/>
        <v>2.3985713286729644</v>
      </c>
    </row>
    <row r="291" spans="2:16" ht="45" x14ac:dyDescent="0.25">
      <c r="B291" s="23">
        <v>172</v>
      </c>
      <c r="C291" s="24" t="s">
        <v>665</v>
      </c>
      <c r="D291" s="25" t="s">
        <v>666</v>
      </c>
      <c r="E291" s="25" t="s">
        <v>667</v>
      </c>
      <c r="F291" s="26">
        <v>0.33</v>
      </c>
      <c r="G291" s="27">
        <v>1</v>
      </c>
      <c r="H291" s="28">
        <f>F291 * G291 * 7130.5956</f>
        <v>2353.096548</v>
      </c>
      <c r="I291" s="28">
        <f>F291 * G291 * 732.256258</f>
        <v>241.64456514000003</v>
      </c>
      <c r="J291" s="28">
        <f>F291 * G291 * 0</f>
        <v>0</v>
      </c>
      <c r="K291" s="28">
        <f>F291 * G291 * 6788.32701099999</f>
        <v>2240.1479136299968</v>
      </c>
      <c r="L291" s="28">
        <f>F291 * G291 * 1538.373781</f>
        <v>507.66334773000005</v>
      </c>
      <c r="M291" s="28">
        <f>F291 * G291 * 1426.11912</f>
        <v>470.61930960000007</v>
      </c>
      <c r="N291" s="29">
        <f>SUM(H291:M291)</f>
        <v>5813.171684099997</v>
      </c>
      <c r="O291" s="92">
        <f t="shared" si="94"/>
        <v>7118.897241924119</v>
      </c>
      <c r="P291" s="30">
        <f t="shared" si="95"/>
        <v>6.3714041115563308E-2</v>
      </c>
    </row>
    <row r="292" spans="2:16" ht="30" x14ac:dyDescent="0.25">
      <c r="B292" s="23">
        <v>173</v>
      </c>
      <c r="C292" s="24" t="s">
        <v>668</v>
      </c>
      <c r="D292" s="25" t="s">
        <v>669</v>
      </c>
      <c r="E292" s="25" t="s">
        <v>348</v>
      </c>
      <c r="F292" s="26">
        <v>9.3109999999999999</v>
      </c>
      <c r="G292" s="27">
        <v>1</v>
      </c>
      <c r="H292" s="28">
        <f>F292 * G292 * 850.2501</f>
        <v>7916.6786810999993</v>
      </c>
      <c r="I292" s="28">
        <f>F292 * G292 * 0</f>
        <v>0</v>
      </c>
      <c r="J292" s="28">
        <f>F292 * G292 * 0</f>
        <v>0</v>
      </c>
      <c r="K292" s="28">
        <f>F292 * G292 * 809.438095</f>
        <v>7536.678102545</v>
      </c>
      <c r="L292" s="28">
        <f>F292 * G292 * 174.267261</f>
        <v>1622.6024671709999</v>
      </c>
      <c r="M292" s="28">
        <f>F292 * G292 * 170.05002</f>
        <v>1583.3357362199999</v>
      </c>
      <c r="N292" s="29">
        <f>SUM(H292:M292)</f>
        <v>18659.294987035999</v>
      </c>
      <c r="O292" s="92">
        <f t="shared" si="94"/>
        <v>22850.452530549093</v>
      </c>
      <c r="P292" s="30">
        <f t="shared" si="95"/>
        <v>0.20451126383264503</v>
      </c>
    </row>
    <row r="293" spans="2:16" x14ac:dyDescent="0.25">
      <c r="B293" s="32"/>
      <c r="C293" s="33" t="s">
        <v>670</v>
      </c>
      <c r="D293" s="106" t="s">
        <v>671</v>
      </c>
      <c r="E293" s="106"/>
      <c r="F293" s="106"/>
      <c r="G293" s="106"/>
      <c r="H293" s="106"/>
      <c r="I293" s="106"/>
      <c r="J293" s="106"/>
      <c r="K293" s="106"/>
      <c r="L293" s="106"/>
      <c r="M293" s="106"/>
      <c r="N293" s="106"/>
      <c r="O293" s="106"/>
      <c r="P293" s="106"/>
    </row>
    <row r="294" spans="2:16" x14ac:dyDescent="0.25">
      <c r="B294" s="32"/>
      <c r="C294" s="33" t="s">
        <v>672</v>
      </c>
      <c r="D294" s="107" t="s">
        <v>673</v>
      </c>
      <c r="E294" s="107"/>
      <c r="F294" s="107"/>
      <c r="G294" s="107"/>
      <c r="H294" s="107"/>
      <c r="I294" s="107"/>
      <c r="J294" s="107"/>
      <c r="K294" s="107"/>
      <c r="L294" s="107"/>
      <c r="M294" s="107"/>
      <c r="N294" s="107"/>
      <c r="O294" s="107"/>
      <c r="P294" s="107"/>
    </row>
    <row r="295" spans="2:16" ht="45" x14ac:dyDescent="0.25">
      <c r="B295" s="23">
        <v>174</v>
      </c>
      <c r="C295" s="24" t="s">
        <v>674</v>
      </c>
      <c r="D295" s="25" t="s">
        <v>675</v>
      </c>
      <c r="E295" s="25" t="s">
        <v>676</v>
      </c>
      <c r="F295" s="26">
        <v>1</v>
      </c>
      <c r="G295" s="27">
        <v>1</v>
      </c>
      <c r="H295" s="28">
        <f>F295 * G295 * 22.80412</f>
        <v>22.804120000000001</v>
      </c>
      <c r="I295" s="28">
        <f t="shared" ref="I295:I302" si="96">F295 * G295 * 0</f>
        <v>0</v>
      </c>
      <c r="J295" s="28">
        <f t="shared" ref="J295:J302" si="97">F295 * G295 * 0</f>
        <v>0</v>
      </c>
      <c r="K295" s="28">
        <f>F295 * G295 * 21.709522</f>
        <v>21.709522</v>
      </c>
      <c r="L295" s="28">
        <f>F295 * G295 * 4.673932</f>
        <v>4.6739319999999998</v>
      </c>
      <c r="M295" s="28">
        <f>F295 * G295 * 4.560824</f>
        <v>4.5608240000000002</v>
      </c>
      <c r="N295" s="29">
        <f t="shared" ref="N295:N302" si="98">SUM(H295:M295)</f>
        <v>53.748398000000009</v>
      </c>
      <c r="O295" s="92">
        <f t="shared" ref="O295:O302" si="99">N295*1.07*1.09*1.05</f>
        <v>65.821094416770023</v>
      </c>
      <c r="P295" s="30">
        <f t="shared" ref="P295:P302" si="100">IF($P$10&gt;0,O295/$P$10/12,0)</f>
        <v>5.8909797029293336E-4</v>
      </c>
    </row>
    <row r="296" spans="2:16" ht="30" x14ac:dyDescent="0.25">
      <c r="B296" s="23">
        <v>175</v>
      </c>
      <c r="C296" s="24" t="s">
        <v>677</v>
      </c>
      <c r="D296" s="25" t="s">
        <v>678</v>
      </c>
      <c r="E296" s="25" t="s">
        <v>676</v>
      </c>
      <c r="F296" s="26">
        <v>163</v>
      </c>
      <c r="G296" s="27">
        <v>4</v>
      </c>
      <c r="H296" s="28">
        <f>F296 * G296 * 20.24405</f>
        <v>13199.1206</v>
      </c>
      <c r="I296" s="28">
        <f t="shared" si="96"/>
        <v>0</v>
      </c>
      <c r="J296" s="28">
        <f t="shared" si="97"/>
        <v>0</v>
      </c>
      <c r="K296" s="28">
        <f>F296 * G296 * 19.272336</f>
        <v>12565.563071999999</v>
      </c>
      <c r="L296" s="28">
        <f>F296 * G296 * 4.149221</f>
        <v>2705.2920919999997</v>
      </c>
      <c r="M296" s="28">
        <f>F296 * G296 * 4.04881</f>
        <v>2639.8241199999998</v>
      </c>
      <c r="N296" s="29">
        <f t="shared" si="98"/>
        <v>31109.799884</v>
      </c>
      <c r="O296" s="92">
        <f t="shared" si="99"/>
        <v>38097.52758494467</v>
      </c>
      <c r="P296" s="30">
        <f t="shared" si="100"/>
        <v>0.34097239452390249</v>
      </c>
    </row>
    <row r="297" spans="2:16" ht="45" x14ac:dyDescent="0.25">
      <c r="B297" s="23">
        <v>176</v>
      </c>
      <c r="C297" s="24" t="s">
        <v>679</v>
      </c>
      <c r="D297" s="25" t="s">
        <v>680</v>
      </c>
      <c r="E297" s="25" t="s">
        <v>676</v>
      </c>
      <c r="F297" s="26">
        <v>1</v>
      </c>
      <c r="G297" s="27">
        <v>1</v>
      </c>
      <c r="H297" s="28">
        <f>F297 * G297 * 60.73215</f>
        <v>60.732149999999997</v>
      </c>
      <c r="I297" s="28">
        <f t="shared" si="96"/>
        <v>0</v>
      </c>
      <c r="J297" s="28">
        <f t="shared" si="97"/>
        <v>0</v>
      </c>
      <c r="K297" s="28">
        <f>F297 * G297 * 57.817006</f>
        <v>57.817005999999999</v>
      </c>
      <c r="L297" s="28">
        <f>F297 * G297 * 12.447662</f>
        <v>12.447661999999999</v>
      </c>
      <c r="M297" s="28">
        <f>F297 * G297 * 12.14643</f>
        <v>12.146430000000001</v>
      </c>
      <c r="N297" s="29">
        <f t="shared" si="98"/>
        <v>143.143248</v>
      </c>
      <c r="O297" s="92">
        <f t="shared" si="99"/>
        <v>175.29536864952001</v>
      </c>
      <c r="P297" s="30">
        <f t="shared" si="100"/>
        <v>1.56889135296531E-3</v>
      </c>
    </row>
    <row r="298" spans="2:16" ht="45" x14ac:dyDescent="0.25">
      <c r="B298" s="23">
        <v>177</v>
      </c>
      <c r="C298" s="24" t="s">
        <v>681</v>
      </c>
      <c r="D298" s="25" t="s">
        <v>682</v>
      </c>
      <c r="E298" s="25" t="s">
        <v>683</v>
      </c>
      <c r="F298" s="26">
        <v>1</v>
      </c>
      <c r="G298" s="27">
        <v>1</v>
      </c>
      <c r="H298" s="28">
        <f>F298 * G298 * 120.861836</f>
        <v>120.861836</v>
      </c>
      <c r="I298" s="28">
        <f t="shared" si="96"/>
        <v>0</v>
      </c>
      <c r="J298" s="28">
        <f t="shared" si="97"/>
        <v>0</v>
      </c>
      <c r="K298" s="28">
        <f>F298 * G298 * 115.060466999999</f>
        <v>115.06046699999899</v>
      </c>
      <c r="L298" s="28">
        <f>F298 * G298 * 24.771842</f>
        <v>24.771841999999999</v>
      </c>
      <c r="M298" s="28">
        <f>F298 * G298 * 24.172367</f>
        <v>24.172367000000001</v>
      </c>
      <c r="N298" s="29">
        <f t="shared" si="98"/>
        <v>284.86651199999898</v>
      </c>
      <c r="O298" s="92">
        <f t="shared" si="99"/>
        <v>348.85180359287881</v>
      </c>
      <c r="P298" s="30">
        <f t="shared" si="100"/>
        <v>3.1222192710492857E-3</v>
      </c>
    </row>
    <row r="299" spans="2:16" ht="30" x14ac:dyDescent="0.25">
      <c r="B299" s="23">
        <v>178</v>
      </c>
      <c r="C299" s="24" t="s">
        <v>684</v>
      </c>
      <c r="D299" s="25" t="s">
        <v>685</v>
      </c>
      <c r="E299" s="25" t="s">
        <v>683</v>
      </c>
      <c r="F299" s="26">
        <v>1</v>
      </c>
      <c r="G299" s="27">
        <v>1</v>
      </c>
      <c r="H299" s="28">
        <f>F299 * G299 * 228.0412</f>
        <v>228.0412</v>
      </c>
      <c r="I299" s="28">
        <f t="shared" si="96"/>
        <v>0</v>
      </c>
      <c r="J299" s="28">
        <f t="shared" si="97"/>
        <v>0</v>
      </c>
      <c r="K299" s="28">
        <f>F299 * G299 * 217.095221999999</f>
        <v>217.09522199999901</v>
      </c>
      <c r="L299" s="28">
        <f>F299 * G299 * 46.7393239999999</f>
        <v>46.739323999999897</v>
      </c>
      <c r="M299" s="28">
        <f>F299 * G299 * 45.60824</f>
        <v>45.608240000000002</v>
      </c>
      <c r="N299" s="29">
        <f t="shared" si="98"/>
        <v>537.48398599999894</v>
      </c>
      <c r="O299" s="92">
        <f t="shared" si="99"/>
        <v>658.21095151538884</v>
      </c>
      <c r="P299" s="30">
        <f t="shared" si="100"/>
        <v>5.8909797686910537E-3</v>
      </c>
    </row>
    <row r="300" spans="2:16" ht="30" x14ac:dyDescent="0.25">
      <c r="B300" s="23">
        <v>179</v>
      </c>
      <c r="C300" s="24" t="s">
        <v>686</v>
      </c>
      <c r="D300" s="25" t="s">
        <v>687</v>
      </c>
      <c r="E300" s="25" t="s">
        <v>676</v>
      </c>
      <c r="F300" s="26">
        <v>1</v>
      </c>
      <c r="G300" s="27">
        <v>1</v>
      </c>
      <c r="H300" s="28">
        <f>F300 * G300 * 45.60824</f>
        <v>45.608240000000002</v>
      </c>
      <c r="I300" s="28">
        <f t="shared" si="96"/>
        <v>0</v>
      </c>
      <c r="J300" s="28">
        <f t="shared" si="97"/>
        <v>0</v>
      </c>
      <c r="K300" s="28">
        <f>F300 * G300 * 43.419044</f>
        <v>43.419044</v>
      </c>
      <c r="L300" s="28">
        <f>F300 * G300 * 9.347864</f>
        <v>9.3478639999999995</v>
      </c>
      <c r="M300" s="28">
        <f>F300 * G300 * 9.121648</f>
        <v>9.1216480000000004</v>
      </c>
      <c r="N300" s="29">
        <f t="shared" si="98"/>
        <v>107.49679600000002</v>
      </c>
      <c r="O300" s="92">
        <f t="shared" si="99"/>
        <v>131.64218883354005</v>
      </c>
      <c r="P300" s="30">
        <f t="shared" si="100"/>
        <v>1.1781959405858667E-3</v>
      </c>
    </row>
    <row r="301" spans="2:16" ht="30" x14ac:dyDescent="0.25">
      <c r="B301" s="23">
        <v>180</v>
      </c>
      <c r="C301" s="24" t="s">
        <v>688</v>
      </c>
      <c r="D301" s="25" t="s">
        <v>689</v>
      </c>
      <c r="E301" s="25" t="s">
        <v>676</v>
      </c>
      <c r="F301" s="26">
        <v>1</v>
      </c>
      <c r="G301" s="27">
        <v>1</v>
      </c>
      <c r="H301" s="28">
        <f>F301 * G301 * 164.189664</f>
        <v>164.18966399999999</v>
      </c>
      <c r="I301" s="28">
        <f t="shared" si="96"/>
        <v>0</v>
      </c>
      <c r="J301" s="28">
        <f t="shared" si="97"/>
        <v>0</v>
      </c>
      <c r="K301" s="28">
        <f>F301 * G301 * 156.308561</f>
        <v>156.308561</v>
      </c>
      <c r="L301" s="28">
        <f>F301 * G301 * 33.652313</f>
        <v>33.652312999999999</v>
      </c>
      <c r="M301" s="28">
        <f>F301 * G301 * 32.837933</f>
        <v>32.837933</v>
      </c>
      <c r="N301" s="29">
        <f t="shared" si="98"/>
        <v>386.988471</v>
      </c>
      <c r="O301" s="92">
        <f t="shared" si="99"/>
        <v>473.91188641366506</v>
      </c>
      <c r="P301" s="30">
        <f t="shared" si="100"/>
        <v>4.2415054452946783E-3</v>
      </c>
    </row>
    <row r="302" spans="2:16" ht="30" x14ac:dyDescent="0.25">
      <c r="B302" s="23">
        <v>181</v>
      </c>
      <c r="C302" s="24" t="s">
        <v>690</v>
      </c>
      <c r="D302" s="25" t="s">
        <v>691</v>
      </c>
      <c r="E302" s="25" t="s">
        <v>676</v>
      </c>
      <c r="F302" s="26">
        <v>7</v>
      </c>
      <c r="G302" s="27">
        <v>1</v>
      </c>
      <c r="H302" s="28">
        <f>F302 * G302 * 22.80412</f>
        <v>159.62884</v>
      </c>
      <c r="I302" s="28">
        <f t="shared" si="96"/>
        <v>0</v>
      </c>
      <c r="J302" s="28">
        <f t="shared" si="97"/>
        <v>0</v>
      </c>
      <c r="K302" s="28">
        <f>F302 * G302 * 21.709522</f>
        <v>151.96665400000001</v>
      </c>
      <c r="L302" s="28">
        <f>F302 * G302 * 4.673932</f>
        <v>32.717523999999997</v>
      </c>
      <c r="M302" s="28">
        <f>F302 * G302 * 4.560824</f>
        <v>31.925768000000001</v>
      </c>
      <c r="N302" s="29">
        <f t="shared" si="98"/>
        <v>376.23878600000006</v>
      </c>
      <c r="O302" s="92">
        <f t="shared" si="99"/>
        <v>460.74766091739019</v>
      </c>
      <c r="P302" s="30">
        <f t="shared" si="100"/>
        <v>4.1236857920505339E-3</v>
      </c>
    </row>
    <row r="303" spans="2:16" x14ac:dyDescent="0.25">
      <c r="B303" s="32"/>
      <c r="C303" s="33" t="s">
        <v>692</v>
      </c>
      <c r="D303" s="107" t="s">
        <v>693</v>
      </c>
      <c r="E303" s="107"/>
      <c r="F303" s="107"/>
      <c r="G303" s="107"/>
      <c r="H303" s="107"/>
      <c r="I303" s="107"/>
      <c r="J303" s="107"/>
      <c r="K303" s="107"/>
      <c r="L303" s="107"/>
      <c r="M303" s="107"/>
      <c r="N303" s="107"/>
      <c r="O303" s="107"/>
      <c r="P303" s="107"/>
    </row>
    <row r="304" spans="2:16" ht="30" x14ac:dyDescent="0.25">
      <c r="B304" s="23">
        <v>182</v>
      </c>
      <c r="C304" s="24" t="s">
        <v>694</v>
      </c>
      <c r="D304" s="25" t="s">
        <v>695</v>
      </c>
      <c r="E304" s="25" t="s">
        <v>676</v>
      </c>
      <c r="F304" s="26">
        <v>1</v>
      </c>
      <c r="G304" s="27">
        <v>1</v>
      </c>
      <c r="H304" s="28">
        <f>F304 * G304 * 36.486592</f>
        <v>36.486592000000002</v>
      </c>
      <c r="I304" s="28">
        <f t="shared" ref="I304:I311" si="101">F304 * G304 * 0</f>
        <v>0</v>
      </c>
      <c r="J304" s="28">
        <f t="shared" ref="J304:J311" si="102">F304 * G304 * 0</f>
        <v>0</v>
      </c>
      <c r="K304" s="28">
        <f>F304 * G304 * 34.735236</f>
        <v>34.735236</v>
      </c>
      <c r="L304" s="28">
        <f>F304 * G304 * 7.478292</f>
        <v>7.4782919999999997</v>
      </c>
      <c r="M304" s="28">
        <f>F304 * G304 * 7.297318</f>
        <v>7.2973179999999997</v>
      </c>
      <c r="N304" s="29">
        <f t="shared" ref="N304:N311" si="103">SUM(H304:M304)</f>
        <v>85.997438000000002</v>
      </c>
      <c r="O304" s="92">
        <f t="shared" ref="O304:O311" si="104">N304*1.07*1.09*1.05</f>
        <v>105.31375253637003</v>
      </c>
      <c r="P304" s="30">
        <f t="shared" ref="P304:P311" si="105">IF($P$10&gt;0,O304/$P$10/12,0)</f>
        <v>9.4255676562103987E-4</v>
      </c>
    </row>
    <row r="305" spans="2:16" ht="30" x14ac:dyDescent="0.25">
      <c r="B305" s="23">
        <v>183</v>
      </c>
      <c r="C305" s="24" t="s">
        <v>696</v>
      </c>
      <c r="D305" s="25" t="s">
        <v>697</v>
      </c>
      <c r="E305" s="25" t="s">
        <v>676</v>
      </c>
      <c r="F305" s="26">
        <v>163</v>
      </c>
      <c r="G305" s="27">
        <v>4</v>
      </c>
      <c r="H305" s="28">
        <f>F305 * G305 * 20.24405</f>
        <v>13199.1206</v>
      </c>
      <c r="I305" s="28">
        <f t="shared" si="101"/>
        <v>0</v>
      </c>
      <c r="J305" s="28">
        <f t="shared" si="102"/>
        <v>0</v>
      </c>
      <c r="K305" s="28">
        <f>F305 * G305 * 19.272336</f>
        <v>12565.563071999999</v>
      </c>
      <c r="L305" s="28">
        <f>F305 * G305 * 4.149221</f>
        <v>2705.2920919999997</v>
      </c>
      <c r="M305" s="28">
        <f>F305 * G305 * 4.04881</f>
        <v>2639.8241199999998</v>
      </c>
      <c r="N305" s="29">
        <f t="shared" si="103"/>
        <v>31109.799884</v>
      </c>
      <c r="O305" s="92">
        <f t="shared" si="104"/>
        <v>38097.52758494467</v>
      </c>
      <c r="P305" s="30">
        <f t="shared" si="105"/>
        <v>0.34097239452390249</v>
      </c>
    </row>
    <row r="306" spans="2:16" ht="45" x14ac:dyDescent="0.25">
      <c r="B306" s="23">
        <v>184</v>
      </c>
      <c r="C306" s="24" t="s">
        <v>698</v>
      </c>
      <c r="D306" s="25" t="s">
        <v>699</v>
      </c>
      <c r="E306" s="25" t="s">
        <v>676</v>
      </c>
      <c r="F306" s="26">
        <v>1</v>
      </c>
      <c r="G306" s="27">
        <v>1</v>
      </c>
      <c r="H306" s="28">
        <f>F306 * G306 * 60.73215</f>
        <v>60.732149999999997</v>
      </c>
      <c r="I306" s="28">
        <f t="shared" si="101"/>
        <v>0</v>
      </c>
      <c r="J306" s="28">
        <f t="shared" si="102"/>
        <v>0</v>
      </c>
      <c r="K306" s="28">
        <f>F306 * G306 * 57.817006</f>
        <v>57.817005999999999</v>
      </c>
      <c r="L306" s="28">
        <f>F306 * G306 * 12.447662</f>
        <v>12.447661999999999</v>
      </c>
      <c r="M306" s="28">
        <f>F306 * G306 * 12.14643</f>
        <v>12.146430000000001</v>
      </c>
      <c r="N306" s="29">
        <f t="shared" si="103"/>
        <v>143.143248</v>
      </c>
      <c r="O306" s="92">
        <f t="shared" si="104"/>
        <v>175.29536864952001</v>
      </c>
      <c r="P306" s="30">
        <f t="shared" si="105"/>
        <v>1.56889135296531E-3</v>
      </c>
    </row>
    <row r="307" spans="2:16" ht="45" x14ac:dyDescent="0.25">
      <c r="B307" s="23">
        <v>185</v>
      </c>
      <c r="C307" s="24" t="s">
        <v>700</v>
      </c>
      <c r="D307" s="25" t="s">
        <v>701</v>
      </c>
      <c r="E307" s="25" t="s">
        <v>683</v>
      </c>
      <c r="F307" s="26">
        <v>1</v>
      </c>
      <c r="G307" s="27">
        <v>1</v>
      </c>
      <c r="H307" s="28">
        <f>F307 * G307 * 174.09883</f>
        <v>174.09882999999999</v>
      </c>
      <c r="I307" s="28">
        <f t="shared" si="101"/>
        <v>0</v>
      </c>
      <c r="J307" s="28">
        <f t="shared" si="102"/>
        <v>0</v>
      </c>
      <c r="K307" s="28">
        <f>F307 * G307 * 165.742087</f>
        <v>165.742087</v>
      </c>
      <c r="L307" s="28">
        <f>F307 * G307 * 35.6832969999999</f>
        <v>35.683296999999897</v>
      </c>
      <c r="M307" s="28">
        <f>F307 * G307 * 34.819766</f>
        <v>34.819766000000001</v>
      </c>
      <c r="N307" s="29">
        <f t="shared" si="103"/>
        <v>410.34397999999993</v>
      </c>
      <c r="O307" s="92">
        <f t="shared" si="104"/>
        <v>502.51339306770006</v>
      </c>
      <c r="P307" s="30">
        <f t="shared" si="105"/>
        <v>4.4974885714719158E-3</v>
      </c>
    </row>
    <row r="308" spans="2:16" ht="30" x14ac:dyDescent="0.25">
      <c r="B308" s="23">
        <v>186</v>
      </c>
      <c r="C308" s="24" t="s">
        <v>702</v>
      </c>
      <c r="D308" s="25" t="s">
        <v>703</v>
      </c>
      <c r="E308" s="25" t="s">
        <v>683</v>
      </c>
      <c r="F308" s="26">
        <v>1</v>
      </c>
      <c r="G308" s="27">
        <v>1</v>
      </c>
      <c r="H308" s="28">
        <f>F308 * G308 * 228.0412</f>
        <v>228.0412</v>
      </c>
      <c r="I308" s="28">
        <f t="shared" si="101"/>
        <v>0</v>
      </c>
      <c r="J308" s="28">
        <f t="shared" si="102"/>
        <v>0</v>
      </c>
      <c r="K308" s="28">
        <f>F308 * G308 * 217.095221999999</f>
        <v>217.09522199999901</v>
      </c>
      <c r="L308" s="28">
        <f>F308 * G308 * 46.7393239999999</f>
        <v>46.739323999999897</v>
      </c>
      <c r="M308" s="28">
        <f>F308 * G308 * 45.60824</f>
        <v>45.608240000000002</v>
      </c>
      <c r="N308" s="29">
        <f t="shared" si="103"/>
        <v>537.48398599999894</v>
      </c>
      <c r="O308" s="92">
        <f t="shared" si="104"/>
        <v>658.21095151538884</v>
      </c>
      <c r="P308" s="30">
        <f t="shared" si="105"/>
        <v>5.8909797686910537E-3</v>
      </c>
    </row>
    <row r="309" spans="2:16" ht="30" x14ac:dyDescent="0.25">
      <c r="B309" s="23">
        <v>187</v>
      </c>
      <c r="C309" s="24" t="s">
        <v>704</v>
      </c>
      <c r="D309" s="25" t="s">
        <v>705</v>
      </c>
      <c r="E309" s="25" t="s">
        <v>676</v>
      </c>
      <c r="F309" s="26">
        <v>3</v>
      </c>
      <c r="G309" s="27">
        <v>1</v>
      </c>
      <c r="H309" s="28">
        <f>F309 * G309 * 45.60824</f>
        <v>136.82472000000001</v>
      </c>
      <c r="I309" s="28">
        <f t="shared" si="101"/>
        <v>0</v>
      </c>
      <c r="J309" s="28">
        <f t="shared" si="102"/>
        <v>0</v>
      </c>
      <c r="K309" s="28">
        <f>F309 * G309 * 43.419044</f>
        <v>130.25713200000001</v>
      </c>
      <c r="L309" s="28">
        <f>F309 * G309 * 9.347864</f>
        <v>28.043591999999997</v>
      </c>
      <c r="M309" s="28">
        <f>F309 * G309 * 9.121648</f>
        <v>27.364944000000001</v>
      </c>
      <c r="N309" s="29">
        <f t="shared" si="103"/>
        <v>322.490388</v>
      </c>
      <c r="O309" s="92">
        <f t="shared" si="104"/>
        <v>394.92656650062008</v>
      </c>
      <c r="P309" s="30">
        <f t="shared" si="105"/>
        <v>3.5345878217575995E-3</v>
      </c>
    </row>
    <row r="310" spans="2:16" ht="30" x14ac:dyDescent="0.25">
      <c r="B310" s="23">
        <v>188</v>
      </c>
      <c r="C310" s="24" t="s">
        <v>706</v>
      </c>
      <c r="D310" s="25" t="s">
        <v>707</v>
      </c>
      <c r="E310" s="25" t="s">
        <v>676</v>
      </c>
      <c r="F310" s="26">
        <v>2</v>
      </c>
      <c r="G310" s="27">
        <v>1</v>
      </c>
      <c r="H310" s="28">
        <f>F310 * G310 * 164.189664</f>
        <v>328.37932799999999</v>
      </c>
      <c r="I310" s="28">
        <f t="shared" si="101"/>
        <v>0</v>
      </c>
      <c r="J310" s="28">
        <f t="shared" si="102"/>
        <v>0</v>
      </c>
      <c r="K310" s="28">
        <f>F310 * G310 * 156.308561</f>
        <v>312.61712199999999</v>
      </c>
      <c r="L310" s="28">
        <f>F310 * G310 * 33.652313</f>
        <v>67.304625999999999</v>
      </c>
      <c r="M310" s="28">
        <f>F310 * G310 * 32.837933</f>
        <v>65.675865999999999</v>
      </c>
      <c r="N310" s="29">
        <f t="shared" si="103"/>
        <v>773.97694200000001</v>
      </c>
      <c r="O310" s="92">
        <f t="shared" si="104"/>
        <v>947.82377282733012</v>
      </c>
      <c r="P310" s="30">
        <f t="shared" si="105"/>
        <v>8.4830108905893566E-3</v>
      </c>
    </row>
    <row r="311" spans="2:16" ht="45" x14ac:dyDescent="0.25">
      <c r="B311" s="23">
        <v>189</v>
      </c>
      <c r="C311" s="24" t="s">
        <v>708</v>
      </c>
      <c r="D311" s="25" t="s">
        <v>709</v>
      </c>
      <c r="E311" s="25" t="s">
        <v>676</v>
      </c>
      <c r="F311" s="26">
        <v>2</v>
      </c>
      <c r="G311" s="27">
        <v>1</v>
      </c>
      <c r="H311" s="28">
        <f>F311 * G311 * 36.486592</f>
        <v>72.973184000000003</v>
      </c>
      <c r="I311" s="28">
        <f t="shared" si="101"/>
        <v>0</v>
      </c>
      <c r="J311" s="28">
        <f t="shared" si="102"/>
        <v>0</v>
      </c>
      <c r="K311" s="28">
        <f>F311 * G311 * 34.735236</f>
        <v>69.470472000000001</v>
      </c>
      <c r="L311" s="28">
        <f>F311 * G311 * 7.478292</f>
        <v>14.956583999999999</v>
      </c>
      <c r="M311" s="28">
        <f>F311 * G311 * 7.297318</f>
        <v>14.594635999999999</v>
      </c>
      <c r="N311" s="29">
        <f t="shared" si="103"/>
        <v>171.994876</v>
      </c>
      <c r="O311" s="92">
        <f t="shared" si="104"/>
        <v>210.62750507274006</v>
      </c>
      <c r="P311" s="30">
        <f t="shared" si="105"/>
        <v>1.8851135312420797E-3</v>
      </c>
    </row>
    <row r="312" spans="2:16" ht="13.9" customHeight="1" x14ac:dyDescent="0.25">
      <c r="B312" s="21"/>
      <c r="C312" s="22" t="s">
        <v>710</v>
      </c>
      <c r="D312" s="105" t="s">
        <v>711</v>
      </c>
      <c r="E312" s="105"/>
      <c r="F312" s="105"/>
      <c r="G312" s="105"/>
      <c r="H312" s="105"/>
      <c r="I312" s="105"/>
      <c r="J312" s="105"/>
      <c r="K312" s="105"/>
      <c r="L312" s="105"/>
      <c r="M312" s="105"/>
      <c r="N312" s="105"/>
      <c r="O312" s="105"/>
      <c r="P312" s="105"/>
    </row>
    <row r="313" spans="2:16" x14ac:dyDescent="0.25">
      <c r="B313" s="32"/>
      <c r="C313" s="33" t="s">
        <v>712</v>
      </c>
      <c r="D313" s="106" t="s">
        <v>713</v>
      </c>
      <c r="E313" s="106"/>
      <c r="F313" s="106"/>
      <c r="G313" s="106"/>
      <c r="H313" s="106"/>
      <c r="I313" s="106"/>
      <c r="J313" s="106"/>
      <c r="K313" s="106"/>
      <c r="L313" s="106"/>
      <c r="M313" s="106"/>
      <c r="N313" s="106"/>
      <c r="O313" s="106"/>
      <c r="P313" s="106"/>
    </row>
    <row r="314" spans="2:16" ht="105" x14ac:dyDescent="0.25">
      <c r="B314" s="23">
        <v>190</v>
      </c>
      <c r="C314" s="24" t="s">
        <v>714</v>
      </c>
      <c r="D314" s="25" t="s">
        <v>715</v>
      </c>
      <c r="E314" s="25" t="s">
        <v>716</v>
      </c>
      <c r="F314" s="26">
        <v>1</v>
      </c>
      <c r="G314" s="27">
        <v>3</v>
      </c>
      <c r="H314" s="28">
        <f>F314 * G314 * 2017.313988</f>
        <v>6051.9419640000006</v>
      </c>
      <c r="I314" s="28">
        <f>F314 * G314 * 0</f>
        <v>0</v>
      </c>
      <c r="J314" s="28">
        <f>F314 * G314 * 0</f>
        <v>0</v>
      </c>
      <c r="K314" s="28">
        <f>F314 * G314 * 1920.482916</f>
        <v>5761.4487479999998</v>
      </c>
      <c r="L314" s="28">
        <f>F314 * G314 * 413.468675</f>
        <v>1240.406025</v>
      </c>
      <c r="M314" s="28">
        <f>F314 * G314 * 403.462798</f>
        <v>1210.3883940000001</v>
      </c>
      <c r="N314" s="29">
        <f>SUM(H314:M314)</f>
        <v>14264.185131</v>
      </c>
      <c r="O314" s="92">
        <f>N314*1.07*1.09*1.05</f>
        <v>17468.135074199567</v>
      </c>
      <c r="P314" s="30">
        <f>IF($P$10&gt;0,O314/$P$10/12,0)</f>
        <v>0.15633959003866008</v>
      </c>
    </row>
    <row r="315" spans="2:16" ht="13.9" customHeight="1" x14ac:dyDescent="0.25">
      <c r="B315" s="109" t="s">
        <v>387</v>
      </c>
      <c r="C315" s="109"/>
      <c r="D315" s="109"/>
      <c r="E315" s="109"/>
      <c r="F315" s="109"/>
      <c r="G315" s="109"/>
      <c r="H315" s="36">
        <f t="shared" ref="H315:P315" si="106">SUM(H209:H314)</f>
        <v>237481.931636975</v>
      </c>
      <c r="I315" s="36">
        <f t="shared" si="106"/>
        <v>198369.79190621502</v>
      </c>
      <c r="J315" s="36">
        <f t="shared" si="106"/>
        <v>1204.7514752</v>
      </c>
      <c r="K315" s="36">
        <f t="shared" si="106"/>
        <v>226557.08115720979</v>
      </c>
      <c r="L315" s="36">
        <f t="shared" si="106"/>
        <v>69679.423895505999</v>
      </c>
      <c r="M315" s="36">
        <f t="shared" si="106"/>
        <v>47596.025392239993</v>
      </c>
      <c r="N315" s="36">
        <f t="shared" si="106"/>
        <v>780889.00546334556</v>
      </c>
      <c r="O315" s="36">
        <f t="shared" si="106"/>
        <v>956288.38942549517</v>
      </c>
      <c r="P315" s="37">
        <f t="shared" si="106"/>
        <v>8.5587691030814437</v>
      </c>
    </row>
    <row r="316" spans="2:16" x14ac:dyDescent="0.25">
      <c r="B316" s="102" t="s">
        <v>717</v>
      </c>
      <c r="C316" s="102"/>
      <c r="D316" s="102"/>
      <c r="E316" s="102"/>
      <c r="F316" s="102"/>
      <c r="G316" s="102"/>
      <c r="H316" s="102"/>
      <c r="I316" s="102"/>
      <c r="J316" s="102"/>
      <c r="K316" s="102"/>
      <c r="L316" s="102"/>
      <c r="M316" s="110"/>
      <c r="N316" s="110"/>
      <c r="O316" s="49"/>
      <c r="P316" s="38"/>
    </row>
    <row r="317" spans="2:16" x14ac:dyDescent="0.25">
      <c r="B317" s="102"/>
      <c r="C317" s="102"/>
      <c r="D317" s="102"/>
      <c r="E317" s="102"/>
      <c r="F317" s="102"/>
      <c r="G317" s="102"/>
      <c r="H317" s="102"/>
      <c r="I317" s="102"/>
      <c r="J317" s="102"/>
      <c r="K317" s="102"/>
      <c r="L317" s="102"/>
      <c r="M317" s="111"/>
      <c r="N317" s="111"/>
      <c r="O317" s="93"/>
      <c r="P317" s="39"/>
    </row>
    <row r="318" spans="2:16" ht="13.9" customHeight="1" x14ac:dyDescent="0.25">
      <c r="B318" s="21"/>
      <c r="C318" s="22" t="s">
        <v>718</v>
      </c>
      <c r="D318" s="105" t="s">
        <v>719</v>
      </c>
      <c r="E318" s="105"/>
      <c r="F318" s="105"/>
      <c r="G318" s="105"/>
      <c r="H318" s="105"/>
      <c r="I318" s="105"/>
      <c r="J318" s="105"/>
      <c r="K318" s="105"/>
      <c r="L318" s="105"/>
      <c r="M318" s="105"/>
      <c r="N318" s="105"/>
      <c r="O318" s="105"/>
      <c r="P318" s="105"/>
    </row>
    <row r="319" spans="2:16" x14ac:dyDescent="0.25">
      <c r="B319" s="32"/>
      <c r="C319" s="33" t="s">
        <v>720</v>
      </c>
      <c r="D319" s="106" t="s">
        <v>721</v>
      </c>
      <c r="E319" s="106"/>
      <c r="F319" s="106"/>
      <c r="G319" s="106"/>
      <c r="H319" s="106"/>
      <c r="I319" s="106"/>
      <c r="J319" s="106"/>
      <c r="K319" s="106"/>
      <c r="L319" s="106"/>
      <c r="M319" s="106"/>
      <c r="N319" s="106"/>
      <c r="O319" s="106"/>
      <c r="P319" s="106"/>
    </row>
    <row r="320" spans="2:16" x14ac:dyDescent="0.25">
      <c r="B320" s="32"/>
      <c r="C320" s="33" t="s">
        <v>722</v>
      </c>
      <c r="D320" s="107" t="s">
        <v>723</v>
      </c>
      <c r="E320" s="107"/>
      <c r="F320" s="107"/>
      <c r="G320" s="107"/>
      <c r="H320" s="107"/>
      <c r="I320" s="107"/>
      <c r="J320" s="107"/>
      <c r="K320" s="107"/>
      <c r="L320" s="107"/>
      <c r="M320" s="107"/>
      <c r="N320" s="107"/>
      <c r="O320" s="107"/>
      <c r="P320" s="107"/>
    </row>
    <row r="321" spans="2:16" ht="30" x14ac:dyDescent="0.25">
      <c r="B321" s="23">
        <v>191</v>
      </c>
      <c r="C321" s="24" t="s">
        <v>724</v>
      </c>
      <c r="D321" s="25" t="s">
        <v>725</v>
      </c>
      <c r="E321" s="25" t="s">
        <v>530</v>
      </c>
      <c r="F321" s="26">
        <v>3.3500000000000002E-2</v>
      </c>
      <c r="G321" s="27">
        <v>1</v>
      </c>
      <c r="H321" s="28">
        <f>F321 * G321 * 13358.74475</f>
        <v>447.51794912500003</v>
      </c>
      <c r="I321" s="28">
        <f>F321 * G321 * 44990.439358</f>
        <v>1507.1797184930001</v>
      </c>
      <c r="J321" s="28">
        <f>F321 * G321 * 0</f>
        <v>0</v>
      </c>
      <c r="K321" s="28">
        <f>F321 * G321 * 12717.525002</f>
        <v>426.03708756700001</v>
      </c>
      <c r="L321" s="28">
        <f>F321 * G321 * 7462.004457</f>
        <v>249.97714930950002</v>
      </c>
      <c r="M321" s="28">
        <f>F321 * G321 * 2671.74895</f>
        <v>89.503589825000006</v>
      </c>
      <c r="N321" s="29">
        <f>SUM(H321:M321)</f>
        <v>2720.2154943195001</v>
      </c>
      <c r="O321" s="92">
        <f t="shared" ref="O321:O325" si="107">N321*1.07*1.09*1.05</f>
        <v>3331.2166975760751</v>
      </c>
      <c r="P321" s="30">
        <f t="shared" ref="P321:P325" si="108">IF($P$10&gt;0,O321/$P$10/12,0)</f>
        <v>2.9814347703219089E-2</v>
      </c>
    </row>
    <row r="322" spans="2:16" ht="30" x14ac:dyDescent="0.25">
      <c r="B322" s="23">
        <v>192</v>
      </c>
      <c r="C322" s="24" t="s">
        <v>726</v>
      </c>
      <c r="D322" s="25" t="s">
        <v>727</v>
      </c>
      <c r="E322" s="25" t="s">
        <v>530</v>
      </c>
      <c r="F322" s="26">
        <v>3.3500000000000002E-2</v>
      </c>
      <c r="G322" s="27">
        <v>1</v>
      </c>
      <c r="H322" s="28">
        <f>F322 * G322 * 14386.3405</f>
        <v>481.94240675000003</v>
      </c>
      <c r="I322" s="28">
        <f>F322 * G322 * 60120.051358</f>
        <v>2014.021720493</v>
      </c>
      <c r="J322" s="28">
        <f>F322 * G322 * 0</f>
        <v>0</v>
      </c>
      <c r="K322" s="28">
        <f>F322 * G322 * 13695.796156</f>
        <v>458.80917122600005</v>
      </c>
      <c r="L322" s="28">
        <f>F322 * G322 * 9261.229741</f>
        <v>310.25119632349998</v>
      </c>
      <c r="M322" s="28">
        <f>F322 * G322 * 2877.2681</f>
        <v>96.388481349999992</v>
      </c>
      <c r="N322" s="29">
        <f>SUM(H322:M322)</f>
        <v>3361.4129761425002</v>
      </c>
      <c r="O322" s="92">
        <f t="shared" si="107"/>
        <v>4116.4367517787487</v>
      </c>
      <c r="P322" s="30">
        <f t="shared" si="108"/>
        <v>3.6842057349539513E-2</v>
      </c>
    </row>
    <row r="323" spans="2:16" ht="30" x14ac:dyDescent="0.25">
      <c r="B323" s="23">
        <v>193</v>
      </c>
      <c r="C323" s="24" t="s">
        <v>728</v>
      </c>
      <c r="D323" s="25" t="s">
        <v>729</v>
      </c>
      <c r="E323" s="25" t="s">
        <v>530</v>
      </c>
      <c r="F323" s="26">
        <v>2.5000000000000001E-2</v>
      </c>
      <c r="G323" s="27">
        <v>1</v>
      </c>
      <c r="H323" s="28">
        <f>F323 * G323 * 21298.898063</f>
        <v>532.47245157500004</v>
      </c>
      <c r="I323" s="28">
        <f>F323 * G323 * 78125.550441</f>
        <v>1953.1387610250001</v>
      </c>
      <c r="J323" s="28">
        <f>F323 * G323 * 0</f>
        <v>0</v>
      </c>
      <c r="K323" s="28">
        <f>F323 * G323 * 20276.550956</f>
        <v>506.91377390000002</v>
      </c>
      <c r="L323" s="28">
        <f>F323 * G323 * 12568.604943</f>
        <v>314.21512357500001</v>
      </c>
      <c r="M323" s="28">
        <f>F323 * G323 * 4259.779613</f>
        <v>106.494490325</v>
      </c>
      <c r="N323" s="29">
        <f>SUM(H323:M323)</f>
        <v>3413.2346004000001</v>
      </c>
      <c r="O323" s="92">
        <f t="shared" si="107"/>
        <v>4179.8982901688469</v>
      </c>
      <c r="P323" s="30">
        <f t="shared" si="108"/>
        <v>3.7410037322958924E-2</v>
      </c>
    </row>
    <row r="324" spans="2:16" ht="30" x14ac:dyDescent="0.25">
      <c r="B324" s="23">
        <v>194</v>
      </c>
      <c r="C324" s="24" t="s">
        <v>730</v>
      </c>
      <c r="D324" s="25" t="s">
        <v>731</v>
      </c>
      <c r="E324" s="25" t="s">
        <v>530</v>
      </c>
      <c r="F324" s="26">
        <v>2.5000000000000001E-2</v>
      </c>
      <c r="G324" s="27">
        <v>1</v>
      </c>
      <c r="H324" s="28">
        <f>F324 * G324 * 24377.507179</f>
        <v>609.43767947499998</v>
      </c>
      <c r="I324" s="28">
        <f>F324 * G324 * 88503.187249</f>
        <v>2212.5796812250001</v>
      </c>
      <c r="J324" s="28">
        <f>F324 * G324 * 0</f>
        <v>0</v>
      </c>
      <c r="K324" s="28">
        <f>F324 * G324 * 23207.386834</f>
        <v>580.18467085000009</v>
      </c>
      <c r="L324" s="28">
        <f>F324 * G324 * 14289.248532</f>
        <v>357.23121330000004</v>
      </c>
      <c r="M324" s="28">
        <f>F324 * G324 * 4875.501436</f>
        <v>121.88753589999999</v>
      </c>
      <c r="N324" s="29">
        <f>SUM(H324:M324)</f>
        <v>3881.3207807500003</v>
      </c>
      <c r="O324" s="92">
        <f t="shared" si="107"/>
        <v>4753.1236479181625</v>
      </c>
      <c r="P324" s="30">
        <f t="shared" si="108"/>
        <v>4.2540397092311631E-2</v>
      </c>
    </row>
    <row r="325" spans="2:16" ht="30" x14ac:dyDescent="0.25">
      <c r="B325" s="23">
        <v>195</v>
      </c>
      <c r="C325" s="24" t="s">
        <v>732</v>
      </c>
      <c r="D325" s="25" t="s">
        <v>733</v>
      </c>
      <c r="E325" s="25" t="s">
        <v>530</v>
      </c>
      <c r="F325" s="26">
        <v>3.3500000000000002E-2</v>
      </c>
      <c r="G325" s="27">
        <v>1</v>
      </c>
      <c r="H325" s="28">
        <f>F325 * G325 * 31707.494462</f>
        <v>1062.201064477</v>
      </c>
      <c r="I325" s="28">
        <f>F325 * G325 * 113281.790876</f>
        <v>3794.9399943460003</v>
      </c>
      <c r="J325" s="28">
        <f>F325 * G325 * 0</f>
        <v>0</v>
      </c>
      <c r="K325" s="28">
        <f>F325 * G325 * 30185.534728</f>
        <v>1011.215413388</v>
      </c>
      <c r="L325" s="28">
        <f>F325 * G325 * 18393.356107</f>
        <v>616.17742958450003</v>
      </c>
      <c r="M325" s="28">
        <f>F325 * G325 * 6341.498892</f>
        <v>212.440212882</v>
      </c>
      <c r="N325" s="29">
        <f>SUM(H325:M325)</f>
        <v>6696.9741146775004</v>
      </c>
      <c r="O325" s="92">
        <f t="shared" si="107"/>
        <v>8201.2149554457883</v>
      </c>
      <c r="P325" s="30">
        <f t="shared" si="108"/>
        <v>7.3400771090160286E-2</v>
      </c>
    </row>
    <row r="326" spans="2:16" x14ac:dyDescent="0.25">
      <c r="B326" s="32"/>
      <c r="C326" s="33" t="s">
        <v>734</v>
      </c>
      <c r="D326" s="107" t="s">
        <v>735</v>
      </c>
      <c r="E326" s="107"/>
      <c r="F326" s="107"/>
      <c r="G326" s="107"/>
      <c r="H326" s="107"/>
      <c r="I326" s="107"/>
      <c r="J326" s="107"/>
      <c r="K326" s="107"/>
      <c r="L326" s="107"/>
      <c r="M326" s="107"/>
      <c r="N326" s="107"/>
      <c r="O326" s="107"/>
      <c r="P326" s="107"/>
    </row>
    <row r="327" spans="2:16" ht="60" x14ac:dyDescent="0.25">
      <c r="B327" s="23">
        <v>196</v>
      </c>
      <c r="C327" s="24" t="s">
        <v>736</v>
      </c>
      <c r="D327" s="25" t="s">
        <v>737</v>
      </c>
      <c r="E327" s="25" t="s">
        <v>738</v>
      </c>
      <c r="F327" s="26">
        <v>6.3842999999999996</v>
      </c>
      <c r="G327" s="27">
        <v>1</v>
      </c>
      <c r="H327" s="28">
        <f>F327 * G327 * 367.146332</f>
        <v>2343.9723273875998</v>
      </c>
      <c r="I327" s="28">
        <f>F327 * G327 * 271.086667</f>
        <v>1730.6986081280997</v>
      </c>
      <c r="J327" s="28">
        <f>F327 * G327 * 0</f>
        <v>0</v>
      </c>
      <c r="K327" s="28">
        <f>F327 * G327 * 349.523308</f>
        <v>2231.4616552643997</v>
      </c>
      <c r="L327" s="28">
        <f>F327 * G327 * 103.714413</f>
        <v>662.1439269158999</v>
      </c>
      <c r="M327" s="28">
        <f>F327 * G327 * 73.429266</f>
        <v>468.79446292379998</v>
      </c>
      <c r="N327" s="29">
        <f>SUM(H327:M327)</f>
        <v>7437.0709806197992</v>
      </c>
      <c r="O327" s="92">
        <f t="shared" ref="O327:O329" si="109">N327*1.07*1.09*1.05</f>
        <v>9107.5486789317165</v>
      </c>
      <c r="P327" s="30">
        <f t="shared" ref="P327:P329" si="110">IF($P$10&gt;0,O327/$P$10/12,0)</f>
        <v>8.1512446559013671E-2</v>
      </c>
    </row>
    <row r="328" spans="2:16" ht="60" x14ac:dyDescent="0.25">
      <c r="B328" s="23">
        <v>197</v>
      </c>
      <c r="C328" s="24" t="s">
        <v>739</v>
      </c>
      <c r="D328" s="25" t="s">
        <v>740</v>
      </c>
      <c r="E328" s="25" t="s">
        <v>738</v>
      </c>
      <c r="F328" s="26">
        <v>3.3742999999999999</v>
      </c>
      <c r="G328" s="27">
        <v>1</v>
      </c>
      <c r="H328" s="28">
        <f>F328 * G328 * 396.791688</f>
        <v>1338.8941928183999</v>
      </c>
      <c r="I328" s="28">
        <f>F328 * G328 * 358.546694</f>
        <v>1209.8441095641999</v>
      </c>
      <c r="J328" s="28">
        <f>F328 * G328 * 0</f>
        <v>0</v>
      </c>
      <c r="K328" s="28">
        <f>F328 * G328 * 377.745687</f>
        <v>1274.6272716440999</v>
      </c>
      <c r="L328" s="28">
        <f>F328 * G328 * 118.973827</f>
        <v>401.45338444609996</v>
      </c>
      <c r="M328" s="28">
        <f>F328 * G328 * 79.358338</f>
        <v>267.77883991340002</v>
      </c>
      <c r="N328" s="29">
        <f>SUM(H328:M328)</f>
        <v>4492.5977983861994</v>
      </c>
      <c r="O328" s="92">
        <f t="shared" si="109"/>
        <v>5501.7026528707165</v>
      </c>
      <c r="P328" s="30">
        <f t="shared" si="110"/>
        <v>4.9240169806955177E-2</v>
      </c>
    </row>
    <row r="329" spans="2:16" ht="60" x14ac:dyDescent="0.25">
      <c r="B329" s="23">
        <v>198</v>
      </c>
      <c r="C329" s="24" t="s">
        <v>741</v>
      </c>
      <c r="D329" s="25" t="s">
        <v>742</v>
      </c>
      <c r="E329" s="25" t="s">
        <v>738</v>
      </c>
      <c r="F329" s="26">
        <v>6.0918999999999999</v>
      </c>
      <c r="G329" s="27">
        <v>1</v>
      </c>
      <c r="H329" s="28">
        <f>F329 * G329 * 417.315396</f>
        <v>2542.2436608923999</v>
      </c>
      <c r="I329" s="28">
        <f>F329 * G329 * 458.930671</f>
        <v>2795.7597546648999</v>
      </c>
      <c r="J329" s="28">
        <f>F329 * G329 * 0</f>
        <v>0</v>
      </c>
      <c r="K329" s="28">
        <f>F329 * G329 * 397.284256999999</f>
        <v>2420.2159652182941</v>
      </c>
      <c r="L329" s="28">
        <f>F329 * G329 * 133.720684</f>
        <v>814.61303485960002</v>
      </c>
      <c r="M329" s="28">
        <f>F329 * G329 * 83.463079</f>
        <v>508.44873096009997</v>
      </c>
      <c r="N329" s="29">
        <f>SUM(H329:M329)</f>
        <v>9081.2811465952946</v>
      </c>
      <c r="O329" s="92">
        <f t="shared" si="109"/>
        <v>11121.073111337801</v>
      </c>
      <c r="P329" s="30">
        <f t="shared" si="110"/>
        <v>9.9533464999622304E-2</v>
      </c>
    </row>
    <row r="330" spans="2:16" x14ac:dyDescent="0.25">
      <c r="B330" s="32"/>
      <c r="C330" s="33" t="s">
        <v>743</v>
      </c>
      <c r="D330" s="106" t="s">
        <v>744</v>
      </c>
      <c r="E330" s="106"/>
      <c r="F330" s="106"/>
      <c r="G330" s="106"/>
      <c r="H330" s="106"/>
      <c r="I330" s="106"/>
      <c r="J330" s="106"/>
      <c r="K330" s="106"/>
      <c r="L330" s="106"/>
      <c r="M330" s="106"/>
      <c r="N330" s="106"/>
      <c r="O330" s="106"/>
      <c r="P330" s="106"/>
    </row>
    <row r="331" spans="2:16" x14ac:dyDescent="0.25">
      <c r="B331" s="32"/>
      <c r="C331" s="33" t="s">
        <v>745</v>
      </c>
      <c r="D331" s="107" t="s">
        <v>746</v>
      </c>
      <c r="E331" s="107"/>
      <c r="F331" s="107"/>
      <c r="G331" s="107"/>
      <c r="H331" s="107"/>
      <c r="I331" s="107"/>
      <c r="J331" s="107"/>
      <c r="K331" s="107"/>
      <c r="L331" s="107"/>
      <c r="M331" s="107"/>
      <c r="N331" s="107"/>
      <c r="O331" s="107"/>
      <c r="P331" s="107"/>
    </row>
    <row r="332" spans="2:16" ht="30" x14ac:dyDescent="0.25">
      <c r="B332" s="23">
        <v>199</v>
      </c>
      <c r="C332" s="24" t="s">
        <v>747</v>
      </c>
      <c r="D332" s="25" t="s">
        <v>748</v>
      </c>
      <c r="E332" s="25" t="s">
        <v>749</v>
      </c>
      <c r="F332" s="26">
        <v>0.05</v>
      </c>
      <c r="G332" s="27">
        <v>1</v>
      </c>
      <c r="H332" s="28">
        <f>F332 * G332 * 22607.1065</f>
        <v>1130.3553250000002</v>
      </c>
      <c r="I332" s="28">
        <f>F332 * G332 * 774225.380288</f>
        <v>38711.269014400001</v>
      </c>
      <c r="J332" s="28">
        <f>F332 * G332 * 0</f>
        <v>0</v>
      </c>
      <c r="K332" s="28">
        <f>F332 * G332 * 21521.965388</f>
        <v>1076.0982694000002</v>
      </c>
      <c r="L332" s="28">
        <f>F332 * G332 * 85927.217479</f>
        <v>4296.3608739500005</v>
      </c>
      <c r="M332" s="28">
        <f>F332 * G332 * 4521.4213</f>
        <v>226.071065</v>
      </c>
      <c r="N332" s="29">
        <f>SUM(H332:M332)</f>
        <v>45440.154547749989</v>
      </c>
      <c r="O332" s="92">
        <f t="shared" ref="O332:O334" si="111">N332*1.07*1.09*1.05</f>
        <v>55646.694861492855</v>
      </c>
      <c r="P332" s="30">
        <f t="shared" ref="P332:P334" si="112">IF($P$10&gt;0,O332/$P$10/12,0)</f>
        <v>0.49803722175825055</v>
      </c>
    </row>
    <row r="333" spans="2:16" x14ac:dyDescent="0.25">
      <c r="B333" s="23">
        <v>200</v>
      </c>
      <c r="C333" s="24" t="s">
        <v>750</v>
      </c>
      <c r="D333" s="25" t="s">
        <v>751</v>
      </c>
      <c r="E333" s="25" t="s">
        <v>752</v>
      </c>
      <c r="F333" s="26">
        <v>0.04</v>
      </c>
      <c r="G333" s="27">
        <v>1</v>
      </c>
      <c r="H333" s="28">
        <f>F333 * G333 * 16573.54545</f>
        <v>662.94181800000013</v>
      </c>
      <c r="I333" s="28">
        <f>F333 * G333 * 84616.663334</f>
        <v>3384.6665333599999</v>
      </c>
      <c r="J333" s="28">
        <f>F333 * G333 * 0</f>
        <v>0</v>
      </c>
      <c r="K333" s="28">
        <f>F333 * G333 * 15778.015269</f>
        <v>631.12061075999998</v>
      </c>
      <c r="L333" s="28">
        <f>F333 * G333 * 12281.663525</f>
        <v>491.26654100000002</v>
      </c>
      <c r="M333" s="28">
        <f>F333 * G333 * 3314.70909</f>
        <v>132.58836360000001</v>
      </c>
      <c r="N333" s="29">
        <f>SUM(H333:M333)</f>
        <v>5302.5838667199996</v>
      </c>
      <c r="O333" s="92">
        <f t="shared" si="111"/>
        <v>6493.6237419433137</v>
      </c>
      <c r="P333" s="30">
        <f t="shared" si="112"/>
        <v>5.8117851125401084E-2</v>
      </c>
    </row>
    <row r="334" spans="2:16" x14ac:dyDescent="0.25">
      <c r="B334" s="23">
        <v>201</v>
      </c>
      <c r="C334" s="24" t="s">
        <v>753</v>
      </c>
      <c r="D334" s="25" t="s">
        <v>754</v>
      </c>
      <c r="E334" s="25" t="s">
        <v>752</v>
      </c>
      <c r="F334" s="26">
        <v>0.03</v>
      </c>
      <c r="G334" s="27">
        <v>1</v>
      </c>
      <c r="H334" s="28">
        <f>F334 * G334 * 16573.54545</f>
        <v>497.20636350000001</v>
      </c>
      <c r="I334" s="28">
        <f>F334 * G334 * 99554.323334</f>
        <v>2986.6297000199997</v>
      </c>
      <c r="J334" s="28">
        <f>F334 * G334 * 0</f>
        <v>0</v>
      </c>
      <c r="K334" s="28">
        <f>F334 * G334 * 15778.015269</f>
        <v>473.34045806999995</v>
      </c>
      <c r="L334" s="28">
        <f>F334 * G334 * 13850.117825</f>
        <v>415.50353474999997</v>
      </c>
      <c r="M334" s="28">
        <f>F334 * G334 * 3314.70909</f>
        <v>99.441272699999985</v>
      </c>
      <c r="N334" s="29">
        <f>SUM(H334:M334)</f>
        <v>4472.1213290399992</v>
      </c>
      <c r="O334" s="92">
        <f t="shared" si="111"/>
        <v>5476.6268613623188</v>
      </c>
      <c r="P334" s="30">
        <f t="shared" si="112"/>
        <v>4.9015741787154253E-2</v>
      </c>
    </row>
    <row r="335" spans="2:16" x14ac:dyDescent="0.25">
      <c r="B335" s="32"/>
      <c r="C335" s="33" t="s">
        <v>755</v>
      </c>
      <c r="D335" s="107" t="s">
        <v>756</v>
      </c>
      <c r="E335" s="107"/>
      <c r="F335" s="107"/>
      <c r="G335" s="107"/>
      <c r="H335" s="107"/>
      <c r="I335" s="107"/>
      <c r="J335" s="107"/>
      <c r="K335" s="107"/>
      <c r="L335" s="107"/>
      <c r="M335" s="107"/>
      <c r="N335" s="107"/>
      <c r="O335" s="107"/>
      <c r="P335" s="107"/>
    </row>
    <row r="336" spans="2:16" ht="30" x14ac:dyDescent="0.25">
      <c r="B336" s="23">
        <v>202</v>
      </c>
      <c r="C336" s="24" t="s">
        <v>757</v>
      </c>
      <c r="D336" s="25" t="s">
        <v>758</v>
      </c>
      <c r="E336" s="25" t="s">
        <v>752</v>
      </c>
      <c r="F336" s="26">
        <v>0.02</v>
      </c>
      <c r="G336" s="27">
        <v>1</v>
      </c>
      <c r="H336" s="28">
        <f>F336 * G336 * 12268.72845</f>
        <v>245.37456900000001</v>
      </c>
      <c r="I336" s="28">
        <f>F336 * G336 * 98299.253941</f>
        <v>1965.9850788200001</v>
      </c>
      <c r="J336" s="28">
        <f>F336 * G336 * 0</f>
        <v>0</v>
      </c>
      <c r="K336" s="28">
        <f>F336 * G336 * 11679.829485</f>
        <v>233.59658970000001</v>
      </c>
      <c r="L336" s="28">
        <f>F336 * G336 * 12836.020247</f>
        <v>256.72040494000004</v>
      </c>
      <c r="M336" s="28">
        <f>F336 * G336 * 2453.74569</f>
        <v>49.074913800000004</v>
      </c>
      <c r="N336" s="29">
        <f>SUM(H336:M336)</f>
        <v>2750.7515562600006</v>
      </c>
      <c r="O336" s="92">
        <f t="shared" ref="O336:O337" si="113">N336*1.07*1.09*1.05</f>
        <v>3368.6116170693408</v>
      </c>
      <c r="P336" s="30">
        <f t="shared" ref="P336:P337" si="114">IF($P$10&gt;0,O336/$P$10/12,0)</f>
        <v>3.014903176412613E-2</v>
      </c>
    </row>
    <row r="337" spans="2:16" x14ac:dyDescent="0.25">
      <c r="B337" s="23">
        <v>203</v>
      </c>
      <c r="C337" s="24" t="s">
        <v>759</v>
      </c>
      <c r="D337" s="25" t="s">
        <v>760</v>
      </c>
      <c r="E337" s="25" t="s">
        <v>752</v>
      </c>
      <c r="F337" s="26">
        <v>0.02</v>
      </c>
      <c r="G337" s="27">
        <v>1</v>
      </c>
      <c r="H337" s="28">
        <f>F337 * G337 * 12268.72845</f>
        <v>245.37456900000001</v>
      </c>
      <c r="I337" s="28">
        <f>F337 * G337 * 83361.593941</f>
        <v>1667.23187882</v>
      </c>
      <c r="J337" s="28">
        <f>F337 * G337 * 0</f>
        <v>0</v>
      </c>
      <c r="K337" s="28">
        <f>F337 * G337 * 11679.829485</f>
        <v>233.59658970000001</v>
      </c>
      <c r="L337" s="28">
        <f>F337 * G337 * 11267.565947</f>
        <v>225.35131894</v>
      </c>
      <c r="M337" s="28">
        <f>F337 * G337 * 2453.74569</f>
        <v>49.074913800000004</v>
      </c>
      <c r="N337" s="29">
        <f>SUM(H337:M337)</f>
        <v>2420.6292702600003</v>
      </c>
      <c r="O337" s="92">
        <f t="shared" si="113"/>
        <v>2964.3389137994509</v>
      </c>
      <c r="P337" s="30">
        <f t="shared" si="114"/>
        <v>2.6530796135390496E-2</v>
      </c>
    </row>
    <row r="338" spans="2:16" x14ac:dyDescent="0.25">
      <c r="B338" s="32"/>
      <c r="C338" s="33" t="s">
        <v>761</v>
      </c>
      <c r="D338" s="107" t="s">
        <v>762</v>
      </c>
      <c r="E338" s="107"/>
      <c r="F338" s="107"/>
      <c r="G338" s="107"/>
      <c r="H338" s="107"/>
      <c r="I338" s="107"/>
      <c r="J338" s="107"/>
      <c r="K338" s="107"/>
      <c r="L338" s="107"/>
      <c r="M338" s="107"/>
      <c r="N338" s="107"/>
      <c r="O338" s="107"/>
      <c r="P338" s="107"/>
    </row>
    <row r="339" spans="2:16" ht="30" x14ac:dyDescent="0.25">
      <c r="B339" s="23">
        <v>204</v>
      </c>
      <c r="C339" s="24" t="s">
        <v>763</v>
      </c>
      <c r="D339" s="25" t="s">
        <v>764</v>
      </c>
      <c r="E339" s="25" t="s">
        <v>765</v>
      </c>
      <c r="F339" s="26">
        <v>1.44</v>
      </c>
      <c r="G339" s="27">
        <v>1</v>
      </c>
      <c r="H339" s="28">
        <f>F339 * G339 * 59031.6498</f>
        <v>85005.575711999991</v>
      </c>
      <c r="I339" s="28">
        <f>F339 * G339 * 1997.016859</f>
        <v>2875.7042769599998</v>
      </c>
      <c r="J339" s="28">
        <f>F339 * G339 * 0</f>
        <v>0</v>
      </c>
      <c r="K339" s="28">
        <f>F339 * G339 * 56198.13061</f>
        <v>80925.30807839999</v>
      </c>
      <c r="L339" s="28">
        <f>F339 * G339 * 12308.813713</f>
        <v>17724.69174672</v>
      </c>
      <c r="M339" s="28">
        <f>F339 * G339 * 11806.32996</f>
        <v>17001.115142399998</v>
      </c>
      <c r="N339" s="29">
        <f>SUM(H339:M339)</f>
        <v>203532.39495647998</v>
      </c>
      <c r="O339" s="92">
        <f t="shared" ref="O339:O340" si="115">N339*1.07*1.09*1.05</f>
        <v>249248.82384962979</v>
      </c>
      <c r="P339" s="30">
        <f t="shared" ref="P339:P340" si="116">IF($P$10&gt;0,O339/$P$10/12,0)</f>
        <v>2.2307738503707961</v>
      </c>
    </row>
    <row r="340" spans="2:16" ht="30" x14ac:dyDescent="0.25">
      <c r="B340" s="23">
        <v>205</v>
      </c>
      <c r="C340" s="24" t="s">
        <v>766</v>
      </c>
      <c r="D340" s="25" t="s">
        <v>767</v>
      </c>
      <c r="E340" s="25" t="s">
        <v>765</v>
      </c>
      <c r="F340" s="26">
        <v>0.19</v>
      </c>
      <c r="G340" s="27">
        <v>1</v>
      </c>
      <c r="H340" s="28">
        <f>F340 * G340 * 80895.2238</f>
        <v>15370.092522000001</v>
      </c>
      <c r="I340" s="28">
        <f>F340 * G340 * 1997.016859</f>
        <v>379.43320321000004</v>
      </c>
      <c r="J340" s="28">
        <f>F340 * G340 * 0</f>
        <v>0</v>
      </c>
      <c r="K340" s="28">
        <f>F340 * G340 * 77012.253058</f>
        <v>14632.328081020001</v>
      </c>
      <c r="L340" s="28">
        <f>F340 * G340 * 16789.971841</f>
        <v>3190.0946497899999</v>
      </c>
      <c r="M340" s="28">
        <f>F340 * G340 * 16179.04476</f>
        <v>3074.0185044</v>
      </c>
      <c r="N340" s="29">
        <f>SUM(H340:M340)</f>
        <v>36645.966960420003</v>
      </c>
      <c r="O340" s="92">
        <f t="shared" si="115"/>
        <v>44877.200829234745</v>
      </c>
      <c r="P340" s="30">
        <f t="shared" si="116"/>
        <v>0.40165038511111179</v>
      </c>
    </row>
    <row r="341" spans="2:16" x14ac:dyDescent="0.25">
      <c r="B341" s="32"/>
      <c r="C341" s="33" t="s">
        <v>768</v>
      </c>
      <c r="D341" s="106" t="s">
        <v>769</v>
      </c>
      <c r="E341" s="106"/>
      <c r="F341" s="106"/>
      <c r="G341" s="106"/>
      <c r="H341" s="106"/>
      <c r="I341" s="106"/>
      <c r="J341" s="106"/>
      <c r="K341" s="106"/>
      <c r="L341" s="106"/>
      <c r="M341" s="106"/>
      <c r="N341" s="106"/>
      <c r="O341" s="106"/>
      <c r="P341" s="106"/>
    </row>
    <row r="342" spans="2:16" x14ac:dyDescent="0.25">
      <c r="B342" s="32"/>
      <c r="C342" s="33" t="s">
        <v>770</v>
      </c>
      <c r="D342" s="107" t="s">
        <v>771</v>
      </c>
      <c r="E342" s="107"/>
      <c r="F342" s="107"/>
      <c r="G342" s="107"/>
      <c r="H342" s="107"/>
      <c r="I342" s="107"/>
      <c r="J342" s="107"/>
      <c r="K342" s="107"/>
      <c r="L342" s="107"/>
      <c r="M342" s="107"/>
      <c r="N342" s="107"/>
      <c r="O342" s="107"/>
      <c r="P342" s="107"/>
    </row>
    <row r="343" spans="2:16" ht="45" x14ac:dyDescent="0.25">
      <c r="B343" s="23">
        <v>206</v>
      </c>
      <c r="C343" s="24" t="s">
        <v>772</v>
      </c>
      <c r="D343" s="25" t="s">
        <v>773</v>
      </c>
      <c r="E343" s="25" t="s">
        <v>774</v>
      </c>
      <c r="F343" s="26">
        <v>4.87E-2</v>
      </c>
      <c r="G343" s="27">
        <v>1</v>
      </c>
      <c r="H343" s="28">
        <f>F343 * G343 * 24860.7252</f>
        <v>1210.7173172400001</v>
      </c>
      <c r="I343" s="28">
        <f>F343 * G343 * 2504.560909</f>
        <v>121.97211626829998</v>
      </c>
      <c r="J343" s="28">
        <f>F343 * G343 * 0</f>
        <v>0</v>
      </c>
      <c r="K343" s="28">
        <f>F343 * G343 * 23667.41039</f>
        <v>1152.602885993</v>
      </c>
      <c r="L343" s="28">
        <f>F343 * G343 * 5358.433132</f>
        <v>260.95569352839999</v>
      </c>
      <c r="M343" s="28">
        <f>F343 * G343 * 4972.14504</f>
        <v>242.14346344800001</v>
      </c>
      <c r="N343" s="29">
        <f>SUM(H343:M343)</f>
        <v>2988.3914764777001</v>
      </c>
      <c r="O343" s="92">
        <f>N343*1.07*1.09*1.05</f>
        <v>3659.6290279667392</v>
      </c>
      <c r="P343" s="30">
        <f>IF($P$10&gt;0,O343/$P$10/12,0)</f>
        <v>3.2753633945214793E-2</v>
      </c>
    </row>
    <row r="344" spans="2:16" x14ac:dyDescent="0.25">
      <c r="B344" s="32"/>
      <c r="C344" s="33" t="s">
        <v>775</v>
      </c>
      <c r="D344" s="106" t="s">
        <v>776</v>
      </c>
      <c r="E344" s="106"/>
      <c r="F344" s="106"/>
      <c r="G344" s="106"/>
      <c r="H344" s="106"/>
      <c r="I344" s="106"/>
      <c r="J344" s="106"/>
      <c r="K344" s="106"/>
      <c r="L344" s="106"/>
      <c r="M344" s="106"/>
      <c r="N344" s="106"/>
      <c r="O344" s="106"/>
      <c r="P344" s="106"/>
    </row>
    <row r="345" spans="2:16" x14ac:dyDescent="0.25">
      <c r="B345" s="23">
        <v>207</v>
      </c>
      <c r="C345" s="24" t="s">
        <v>777</v>
      </c>
      <c r="D345" s="25" t="s">
        <v>778</v>
      </c>
      <c r="E345" s="25" t="s">
        <v>779</v>
      </c>
      <c r="F345" s="26">
        <v>5</v>
      </c>
      <c r="G345" s="27">
        <v>0.1</v>
      </c>
      <c r="H345" s="28">
        <f>F345 * G345 * 576.944236</f>
        <v>288.47211800000002</v>
      </c>
      <c r="I345" s="28">
        <f>F345 * G345 * 88262.56512</f>
        <v>44131.28256</v>
      </c>
      <c r="J345" s="28">
        <f>F345 * G345 * 0</f>
        <v>0</v>
      </c>
      <c r="K345" s="28">
        <f>F345 * G345 * 549.250912</f>
        <v>274.62545599999999</v>
      </c>
      <c r="L345" s="28">
        <f>F345 * G345 * 9385.819828</f>
        <v>4692.9099139999998</v>
      </c>
      <c r="M345" s="28">
        <f>F345 * G345 * 115.388847</f>
        <v>57.694423499999999</v>
      </c>
      <c r="N345" s="29">
        <f>SUM(H345:M345)</f>
        <v>49444.984471499993</v>
      </c>
      <c r="O345" s="92">
        <f>N345*1.07*1.09*1.05</f>
        <v>60551.069658565975</v>
      </c>
      <c r="P345" s="30">
        <f>IF($P$10&gt;0,O345/$P$10/12,0)</f>
        <v>0.54193131474032485</v>
      </c>
    </row>
    <row r="346" spans="2:16" x14ac:dyDescent="0.25">
      <c r="B346" s="32"/>
      <c r="C346" s="33" t="s">
        <v>780</v>
      </c>
      <c r="D346" s="106" t="s">
        <v>781</v>
      </c>
      <c r="E346" s="106"/>
      <c r="F346" s="106"/>
      <c r="G346" s="106"/>
      <c r="H346" s="106"/>
      <c r="I346" s="106"/>
      <c r="J346" s="106"/>
      <c r="K346" s="106"/>
      <c r="L346" s="106"/>
      <c r="M346" s="106"/>
      <c r="N346" s="106"/>
      <c r="O346" s="106"/>
      <c r="P346" s="106"/>
    </row>
    <row r="347" spans="2:16" ht="30" x14ac:dyDescent="0.25">
      <c r="B347" s="23">
        <v>208</v>
      </c>
      <c r="C347" s="24" t="s">
        <v>782</v>
      </c>
      <c r="D347" s="25" t="s">
        <v>783</v>
      </c>
      <c r="E347" s="25" t="s">
        <v>784</v>
      </c>
      <c r="F347" s="26">
        <v>1</v>
      </c>
      <c r="G347" s="27">
        <v>0.5</v>
      </c>
      <c r="H347" s="28">
        <f>F347 * G347 * 3146.052</f>
        <v>1573.0260000000001</v>
      </c>
      <c r="I347" s="28">
        <f>F347 * G347 * 23605.280733</f>
        <v>11802.6403665</v>
      </c>
      <c r="J347" s="28">
        <f>F347 * G347 * 0</f>
        <v>0</v>
      </c>
      <c r="K347" s="28">
        <f>F347 * G347 * 2995.041504</f>
        <v>1497.5207519999999</v>
      </c>
      <c r="L347" s="28">
        <f>F347 * G347 * 3123.369295</f>
        <v>1561.6846475</v>
      </c>
      <c r="M347" s="28">
        <f>F347 * G347 * 629.2104</f>
        <v>314.60520000000002</v>
      </c>
      <c r="N347" s="29">
        <f>SUM(H347:M347)</f>
        <v>16749.476966000002</v>
      </c>
      <c r="O347" s="92">
        <f t="shared" ref="O347:O348" si="117">N347*1.07*1.09*1.05</f>
        <v>20511.660734718094</v>
      </c>
      <c r="P347" s="30">
        <f t="shared" ref="P347:P348" si="118">IF($P$10&gt;0,O347/$P$10/12,0)</f>
        <v>0.18357910656497775</v>
      </c>
    </row>
    <row r="348" spans="2:16" ht="30" x14ac:dyDescent="0.25">
      <c r="B348" s="23">
        <v>209</v>
      </c>
      <c r="C348" s="24" t="s">
        <v>785</v>
      </c>
      <c r="D348" s="25" t="s">
        <v>786</v>
      </c>
      <c r="E348" s="25" t="s">
        <v>787</v>
      </c>
      <c r="F348" s="26">
        <v>1</v>
      </c>
      <c r="G348" s="27">
        <v>0.5</v>
      </c>
      <c r="H348" s="28">
        <f>F348 * G348 * 4719.078</f>
        <v>2359.5390000000002</v>
      </c>
      <c r="I348" s="28">
        <f>F348 * G348 * 26295.23832</f>
        <v>13147.61916</v>
      </c>
      <c r="J348" s="28">
        <f>F348 * G348 * 0</f>
        <v>0</v>
      </c>
      <c r="K348" s="28">
        <f>F348 * G348 * 4492.562256</f>
        <v>2246.2811280000001</v>
      </c>
      <c r="L348" s="28">
        <f>F348 * G348 * 3728.22225099999</f>
        <v>1864.1111254999951</v>
      </c>
      <c r="M348" s="28">
        <f>F348 * G348 * 943.8156</f>
        <v>471.90780000000001</v>
      </c>
      <c r="N348" s="29">
        <f>SUM(H348:M348)</f>
        <v>20089.458213499998</v>
      </c>
      <c r="O348" s="92">
        <f t="shared" si="117"/>
        <v>24601.851870125305</v>
      </c>
      <c r="P348" s="30">
        <f t="shared" si="118"/>
        <v>0.22018626597684912</v>
      </c>
    </row>
    <row r="349" spans="2:16" x14ac:dyDescent="0.25">
      <c r="B349" s="32"/>
      <c r="C349" s="33" t="s">
        <v>788</v>
      </c>
      <c r="D349" s="106" t="s">
        <v>789</v>
      </c>
      <c r="E349" s="106"/>
      <c r="F349" s="106"/>
      <c r="G349" s="106"/>
      <c r="H349" s="106"/>
      <c r="I349" s="106"/>
      <c r="J349" s="106"/>
      <c r="K349" s="106"/>
      <c r="L349" s="106"/>
      <c r="M349" s="106"/>
      <c r="N349" s="106"/>
      <c r="O349" s="106"/>
      <c r="P349" s="106"/>
    </row>
    <row r="350" spans="2:16" x14ac:dyDescent="0.25">
      <c r="B350" s="23">
        <v>210</v>
      </c>
      <c r="C350" s="24" t="s">
        <v>790</v>
      </c>
      <c r="D350" s="25" t="s">
        <v>791</v>
      </c>
      <c r="E350" s="25" t="s">
        <v>792</v>
      </c>
      <c r="F350" s="26">
        <v>1</v>
      </c>
      <c r="G350" s="27">
        <v>0.5</v>
      </c>
      <c r="H350" s="28">
        <f>F350 * G350 * 2850.515</f>
        <v>1425.2574999999999</v>
      </c>
      <c r="I350" s="28">
        <f>F350 * G350 * 7411.615799</f>
        <v>3705.8078995000001</v>
      </c>
      <c r="J350" s="28">
        <f>F350 * G350 * 0</f>
        <v>0</v>
      </c>
      <c r="K350" s="28">
        <f>F350 * G350 * 2713.69028</f>
        <v>1356.8451399999999</v>
      </c>
      <c r="L350" s="28">
        <f>F350 * G350 * 1362.461213</f>
        <v>681.23060650000002</v>
      </c>
      <c r="M350" s="28">
        <f>F350 * G350 * 570.103</f>
        <v>285.05149999999998</v>
      </c>
      <c r="N350" s="29">
        <f>SUM(H350:M350)</f>
        <v>7454.1926460000004</v>
      </c>
      <c r="O350" s="92">
        <f>N350*1.07*1.09*1.05</f>
        <v>9128.5161271812922</v>
      </c>
      <c r="P350" s="30">
        <f>IF($P$10&gt;0,O350/$P$10/12,0)</f>
        <v>8.1700104958125616E-2</v>
      </c>
    </row>
    <row r="351" spans="2:16" x14ac:dyDescent="0.25">
      <c r="B351" s="32"/>
      <c r="C351" s="33" t="s">
        <v>793</v>
      </c>
      <c r="D351" s="107" t="s">
        <v>794</v>
      </c>
      <c r="E351" s="107"/>
      <c r="F351" s="107"/>
      <c r="G351" s="107"/>
      <c r="H351" s="107"/>
      <c r="I351" s="107"/>
      <c r="J351" s="107"/>
      <c r="K351" s="107"/>
      <c r="L351" s="107"/>
      <c r="M351" s="107"/>
      <c r="N351" s="107"/>
      <c r="O351" s="107"/>
      <c r="P351" s="107"/>
    </row>
    <row r="352" spans="2:16" ht="30" x14ac:dyDescent="0.25">
      <c r="B352" s="23">
        <v>211</v>
      </c>
      <c r="C352" s="24" t="s">
        <v>795</v>
      </c>
      <c r="D352" s="25" t="s">
        <v>796</v>
      </c>
      <c r="E352" s="25" t="s">
        <v>281</v>
      </c>
      <c r="F352" s="26">
        <v>0.01</v>
      </c>
      <c r="G352" s="27">
        <v>1</v>
      </c>
      <c r="H352" s="28">
        <f>F352 * G352 * 57545.362</f>
        <v>575.45362</v>
      </c>
      <c r="I352" s="28">
        <f>F352 * G352 * 495853.13854</f>
        <v>4958.5313854000005</v>
      </c>
      <c r="J352" s="28">
        <f>F352 * G352 * 0</f>
        <v>0</v>
      </c>
      <c r="K352" s="28">
        <f>F352 * G352 * 54783.184624</f>
        <v>547.83184624</v>
      </c>
      <c r="L352" s="28">
        <f>F352 * G352 * 63859.076942</f>
        <v>638.59076942000002</v>
      </c>
      <c r="M352" s="28">
        <f>F352 * G352 * 11509.0724</f>
        <v>115.09072399999999</v>
      </c>
      <c r="N352" s="29">
        <f>SUM(H352:M352)</f>
        <v>6835.4983450600012</v>
      </c>
      <c r="O352" s="92">
        <f t="shared" ref="O352:O354" si="119">N352*1.07*1.09*1.05</f>
        <v>8370.8538058356553</v>
      </c>
      <c r="P352" s="30">
        <f t="shared" ref="P352:P354" si="120">IF($P$10&gt;0,O352/$P$10/12,0)</f>
        <v>7.4919036675577769E-2</v>
      </c>
    </row>
    <row r="353" spans="2:16" ht="30" x14ac:dyDescent="0.25">
      <c r="B353" s="23">
        <v>212</v>
      </c>
      <c r="C353" s="24" t="s">
        <v>797</v>
      </c>
      <c r="D353" s="25" t="s">
        <v>798</v>
      </c>
      <c r="E353" s="25" t="s">
        <v>281</v>
      </c>
      <c r="F353" s="26">
        <v>0.01</v>
      </c>
      <c r="G353" s="27">
        <v>1</v>
      </c>
      <c r="H353" s="28">
        <f>F353 * G353 * 66793.72375</f>
        <v>667.93723750000004</v>
      </c>
      <c r="I353" s="28">
        <f>F353 * G353 * 1058168.892276</f>
        <v>10581.68892276</v>
      </c>
      <c r="J353" s="28">
        <f>F353 * G353 * 0</f>
        <v>0</v>
      </c>
      <c r="K353" s="28">
        <f>F353 * G353 * 63587.625011</f>
        <v>635.87625011</v>
      </c>
      <c r="L353" s="28">
        <f>F353 * G353 * 124797.775308999</f>
        <v>1247.9777530899901</v>
      </c>
      <c r="M353" s="28">
        <f>F353 * G353 * 13358.74475</f>
        <v>133.5874475</v>
      </c>
      <c r="N353" s="29">
        <f>SUM(H353:M353)</f>
        <v>13267.067610959992</v>
      </c>
      <c r="O353" s="92">
        <f t="shared" si="119"/>
        <v>16247.050002395772</v>
      </c>
      <c r="P353" s="30">
        <f t="shared" si="120"/>
        <v>0.14541089394619064</v>
      </c>
    </row>
    <row r="354" spans="2:16" ht="30" x14ac:dyDescent="0.25">
      <c r="B354" s="23">
        <v>213</v>
      </c>
      <c r="C354" s="24" t="s">
        <v>799</v>
      </c>
      <c r="D354" s="25" t="s">
        <v>800</v>
      </c>
      <c r="E354" s="25" t="s">
        <v>281</v>
      </c>
      <c r="F354" s="26">
        <v>0.01</v>
      </c>
      <c r="G354" s="27">
        <v>1</v>
      </c>
      <c r="H354" s="28">
        <f>F354 * G354 * 76042.0855</f>
        <v>760.42085500000007</v>
      </c>
      <c r="I354" s="28">
        <f>F354 * G354 * 1489935.448251</f>
        <v>14899.35448251</v>
      </c>
      <c r="J354" s="28">
        <f>F354 * G354 * 0</f>
        <v>0</v>
      </c>
      <c r="K354" s="28">
        <f>F354 * G354 * 72392.065396</f>
        <v>723.9206539600001</v>
      </c>
      <c r="L354" s="28">
        <f>F354 * G354 * 172028.807911</f>
        <v>1720.2880791100001</v>
      </c>
      <c r="M354" s="28">
        <f>F354 * G354 * 15208.4171</f>
        <v>152.084171</v>
      </c>
      <c r="N354" s="29">
        <f>SUM(H354:M354)</f>
        <v>18256.06824158</v>
      </c>
      <c r="O354" s="92">
        <f t="shared" si="119"/>
        <v>22356.655009662496</v>
      </c>
      <c r="P354" s="30">
        <f t="shared" si="120"/>
        <v>0.20009178220798426</v>
      </c>
    </row>
    <row r="355" spans="2:16" x14ac:dyDescent="0.25">
      <c r="B355" s="32"/>
      <c r="C355" s="33" t="s">
        <v>801</v>
      </c>
      <c r="D355" s="107" t="s">
        <v>802</v>
      </c>
      <c r="E355" s="107"/>
      <c r="F355" s="107"/>
      <c r="G355" s="107"/>
      <c r="H355" s="107"/>
      <c r="I355" s="107"/>
      <c r="J355" s="107"/>
      <c r="K355" s="107"/>
      <c r="L355" s="107"/>
      <c r="M355" s="107"/>
      <c r="N355" s="107"/>
      <c r="O355" s="107"/>
      <c r="P355" s="107"/>
    </row>
    <row r="356" spans="2:16" ht="30" x14ac:dyDescent="0.25">
      <c r="B356" s="23">
        <v>214</v>
      </c>
      <c r="C356" s="24" t="s">
        <v>803</v>
      </c>
      <c r="D356" s="25" t="s">
        <v>804</v>
      </c>
      <c r="E356" s="25" t="s">
        <v>281</v>
      </c>
      <c r="F356" s="26">
        <v>0.01</v>
      </c>
      <c r="G356" s="27">
        <v>1</v>
      </c>
      <c r="H356" s="28">
        <f>F356 * G356 * 84262.8515</f>
        <v>842.62851500000011</v>
      </c>
      <c r="I356" s="28">
        <f>F356 * G356 * 10112.522572</f>
        <v>101.12522572</v>
      </c>
      <c r="J356" s="28">
        <f>F356 * G356 * 0</f>
        <v>0</v>
      </c>
      <c r="K356" s="28">
        <f>F356 * G356 * 80218.234628</f>
        <v>802.18234628000005</v>
      </c>
      <c r="L356" s="28">
        <f>F356 * G356 * 18332.328913</f>
        <v>183.32328913000001</v>
      </c>
      <c r="M356" s="28">
        <f>F356 * G356 * 16852.5703</f>
        <v>168.52570299999999</v>
      </c>
      <c r="N356" s="29">
        <f>SUM(H356:M356)</f>
        <v>2097.7850791299998</v>
      </c>
      <c r="O356" s="92">
        <f t="shared" ref="O356:O358" si="121">N356*1.07*1.09*1.05</f>
        <v>2568.9790746787853</v>
      </c>
      <c r="P356" s="30">
        <f t="shared" ref="P356:P358" si="122">IF($P$10&gt;0,O356/$P$10/12,0)</f>
        <v>2.2992330529112388E-2</v>
      </c>
    </row>
    <row r="357" spans="2:16" ht="30" x14ac:dyDescent="0.25">
      <c r="B357" s="23">
        <v>215</v>
      </c>
      <c r="C357" s="24" t="s">
        <v>805</v>
      </c>
      <c r="D357" s="25" t="s">
        <v>806</v>
      </c>
      <c r="E357" s="25" t="s">
        <v>281</v>
      </c>
      <c r="F357" s="26">
        <v>0.01</v>
      </c>
      <c r="G357" s="27">
        <v>1</v>
      </c>
      <c r="H357" s="28">
        <f>F357 * G357 * 110980.341</f>
        <v>1109.80341</v>
      </c>
      <c r="I357" s="28">
        <f>F357 * G357 * 32438.651718</f>
        <v>324.38651718</v>
      </c>
      <c r="J357" s="28">
        <f>F357 * G357 * 0</f>
        <v>0</v>
      </c>
      <c r="K357" s="28">
        <f>F357 * G357 * 105653.284632</f>
        <v>1056.5328463199999</v>
      </c>
      <c r="L357" s="28">
        <f>F357 * G357 * 26152.589122</f>
        <v>261.52589122000001</v>
      </c>
      <c r="M357" s="28">
        <f>F357 * G357 * 22196.0682</f>
        <v>221.96068200000002</v>
      </c>
      <c r="N357" s="29">
        <f>SUM(H357:M357)</f>
        <v>2974.2093467199998</v>
      </c>
      <c r="O357" s="92">
        <f t="shared" si="121"/>
        <v>3642.2613791335129</v>
      </c>
      <c r="P357" s="30">
        <f t="shared" si="122"/>
        <v>3.2598193705773749E-2</v>
      </c>
    </row>
    <row r="358" spans="2:16" ht="30" x14ac:dyDescent="0.25">
      <c r="B358" s="23">
        <v>216</v>
      </c>
      <c r="C358" s="24" t="s">
        <v>807</v>
      </c>
      <c r="D358" s="25" t="s">
        <v>808</v>
      </c>
      <c r="E358" s="25" t="s">
        <v>281</v>
      </c>
      <c r="F358" s="26">
        <v>0.01</v>
      </c>
      <c r="G358" s="27">
        <v>1</v>
      </c>
      <c r="H358" s="28">
        <f>F358 * G358 * 164415.32</f>
        <v>1644.1532000000002</v>
      </c>
      <c r="I358" s="28">
        <f>F358 * G358 * 32558.860251</f>
        <v>325.58860250999999</v>
      </c>
      <c r="J358" s="28">
        <f>F358 * G358 * 0</f>
        <v>0</v>
      </c>
      <c r="K358" s="28">
        <f>F358 * G358 * 156523.38464</f>
        <v>1565.2338464000002</v>
      </c>
      <c r="L358" s="28">
        <f>F358 * G358 * 37117.244313</f>
        <v>371.17244313000003</v>
      </c>
      <c r="M358" s="28">
        <f>F358 * G358 * 32883.064</f>
        <v>328.83064000000002</v>
      </c>
      <c r="N358" s="29">
        <f>SUM(H358:M358)</f>
        <v>4234.9787320400001</v>
      </c>
      <c r="O358" s="92">
        <f t="shared" si="121"/>
        <v>5186.2184799371653</v>
      </c>
      <c r="P358" s="30">
        <f t="shared" si="122"/>
        <v>4.6416590412211051E-2</v>
      </c>
    </row>
    <row r="359" spans="2:16" x14ac:dyDescent="0.25">
      <c r="B359" s="32"/>
      <c r="C359" s="33" t="s">
        <v>809</v>
      </c>
      <c r="D359" s="107" t="s">
        <v>810</v>
      </c>
      <c r="E359" s="107"/>
      <c r="F359" s="107"/>
      <c r="G359" s="107"/>
      <c r="H359" s="107"/>
      <c r="I359" s="107"/>
      <c r="J359" s="107"/>
      <c r="K359" s="107"/>
      <c r="L359" s="107"/>
      <c r="M359" s="107"/>
      <c r="N359" s="107"/>
      <c r="O359" s="107"/>
      <c r="P359" s="107"/>
    </row>
    <row r="360" spans="2:16" ht="30" x14ac:dyDescent="0.25">
      <c r="B360" s="23">
        <v>217</v>
      </c>
      <c r="C360" s="24" t="s">
        <v>811</v>
      </c>
      <c r="D360" s="25" t="s">
        <v>812</v>
      </c>
      <c r="E360" s="25" t="s">
        <v>813</v>
      </c>
      <c r="F360" s="26">
        <v>0.02</v>
      </c>
      <c r="G360" s="27">
        <v>1</v>
      </c>
      <c r="H360" s="28">
        <f>F360 * G360 * 17058.08945</f>
        <v>341.161789</v>
      </c>
      <c r="I360" s="28">
        <f>F360 * G360 * 35950.208138</f>
        <v>719.0041627600001</v>
      </c>
      <c r="J360" s="28">
        <f>F360 * G360 * 0</f>
        <v>0</v>
      </c>
      <c r="K360" s="28">
        <f>F360 * G360 * 16239.3011569999</f>
        <v>324.78602313999801</v>
      </c>
      <c r="L360" s="28">
        <f>F360 * G360 * 7270.997868</f>
        <v>145.41995736000001</v>
      </c>
      <c r="M360" s="28">
        <f>F360 * G360 * 3411.61789</f>
        <v>68.232357800000003</v>
      </c>
      <c r="N360" s="29">
        <f>SUM(H360:M360)</f>
        <v>1598.6042900599982</v>
      </c>
      <c r="O360" s="92">
        <f>N360*1.07*1.09*1.05</f>
        <v>1957.6747926718251</v>
      </c>
      <c r="P360" s="30">
        <f>IF($P$10&gt;0,O360/$P$10/12,0)</f>
        <v>1.7521164864782026E-2</v>
      </c>
    </row>
    <row r="361" spans="2:16" x14ac:dyDescent="0.25">
      <c r="B361" s="32"/>
      <c r="C361" s="33" t="s">
        <v>814</v>
      </c>
      <c r="D361" s="107" t="s">
        <v>815</v>
      </c>
      <c r="E361" s="107"/>
      <c r="F361" s="107"/>
      <c r="G361" s="107"/>
      <c r="H361" s="107"/>
      <c r="I361" s="107"/>
      <c r="J361" s="107"/>
      <c r="K361" s="107"/>
      <c r="L361" s="107"/>
      <c r="M361" s="107"/>
      <c r="N361" s="107"/>
      <c r="O361" s="107"/>
      <c r="P361" s="107"/>
    </row>
    <row r="362" spans="2:16" ht="30" x14ac:dyDescent="0.25">
      <c r="B362" s="23">
        <v>218</v>
      </c>
      <c r="C362" s="24" t="s">
        <v>816</v>
      </c>
      <c r="D362" s="25" t="s">
        <v>817</v>
      </c>
      <c r="E362" s="25" t="s">
        <v>813</v>
      </c>
      <c r="F362" s="26">
        <v>0.02</v>
      </c>
      <c r="G362" s="27">
        <v>1</v>
      </c>
      <c r="H362" s="28">
        <f>F362 * G362 * 12483.9693</f>
        <v>249.67938600000002</v>
      </c>
      <c r="I362" s="28">
        <f>F362 * G362 * 20633.532092</f>
        <v>412.67064184000003</v>
      </c>
      <c r="J362" s="28">
        <f>F362 * G362 * 0</f>
        <v>0</v>
      </c>
      <c r="K362" s="28">
        <f>F362 * G362 * 11884.738774</f>
        <v>237.69477548</v>
      </c>
      <c r="L362" s="28">
        <f>F362 * G362 * 4725.235218</f>
        <v>94.504704359999991</v>
      </c>
      <c r="M362" s="28">
        <f>F362 * G362 * 2496.79386</f>
        <v>49.935877200000007</v>
      </c>
      <c r="N362" s="29">
        <f>SUM(H362:M362)</f>
        <v>1044.4853848800001</v>
      </c>
      <c r="O362" s="92">
        <f>N362*1.07*1.09*1.05</f>
        <v>1279.0924696048212</v>
      </c>
      <c r="P362" s="30">
        <f>IF($P$10&gt;0,O362/$P$10/12,0)</f>
        <v>1.1447861575956944E-2</v>
      </c>
    </row>
    <row r="363" spans="2:16" x14ac:dyDescent="0.25">
      <c r="B363" s="32"/>
      <c r="C363" s="33" t="s">
        <v>818</v>
      </c>
      <c r="D363" s="107" t="s">
        <v>819</v>
      </c>
      <c r="E363" s="107"/>
      <c r="F363" s="107"/>
      <c r="G363" s="107"/>
      <c r="H363" s="107"/>
      <c r="I363" s="107"/>
      <c r="J363" s="107"/>
      <c r="K363" s="107"/>
      <c r="L363" s="107"/>
      <c r="M363" s="107"/>
      <c r="N363" s="107"/>
      <c r="O363" s="107"/>
      <c r="P363" s="107"/>
    </row>
    <row r="364" spans="2:16" x14ac:dyDescent="0.25">
      <c r="B364" s="23">
        <v>219</v>
      </c>
      <c r="C364" s="24" t="s">
        <v>820</v>
      </c>
      <c r="D364" s="25" t="s">
        <v>821</v>
      </c>
      <c r="E364" s="25" t="s">
        <v>822</v>
      </c>
      <c r="F364" s="26">
        <v>0.01</v>
      </c>
      <c r="G364" s="27">
        <v>1</v>
      </c>
      <c r="H364" s="28">
        <f>F364 * G364 * 11858.1424</f>
        <v>118.58142400000001</v>
      </c>
      <c r="I364" s="28">
        <f>F364 * G364 * 37939.779207</f>
        <v>379.39779206999998</v>
      </c>
      <c r="J364" s="28">
        <f>F364 * G364 * 0</f>
        <v>0</v>
      </c>
      <c r="K364" s="28">
        <f>F364 * G364 * 11288.951565</f>
        <v>112.88951564999999</v>
      </c>
      <c r="L364" s="28">
        <f>F364 * G364 * 6414.121683</f>
        <v>64.141216830000005</v>
      </c>
      <c r="M364" s="28">
        <f>F364 * G364 * 2371.62848</f>
        <v>23.7162848</v>
      </c>
      <c r="N364" s="29">
        <f>SUM(H364:M364)</f>
        <v>698.72623335000003</v>
      </c>
      <c r="O364" s="92">
        <f>N364*1.07*1.09*1.05</f>
        <v>855.67062625391043</v>
      </c>
      <c r="P364" s="30">
        <f>IF($P$10&gt;0,O364/$P$10/12,0)</f>
        <v>7.6582413834345615E-3</v>
      </c>
    </row>
    <row r="365" spans="2:16" x14ac:dyDescent="0.25">
      <c r="B365" s="32"/>
      <c r="C365" s="33" t="s">
        <v>823</v>
      </c>
      <c r="D365" s="106" t="s">
        <v>824</v>
      </c>
      <c r="E365" s="106"/>
      <c r="F365" s="106"/>
      <c r="G365" s="106"/>
      <c r="H365" s="106"/>
      <c r="I365" s="106"/>
      <c r="J365" s="106"/>
      <c r="K365" s="106"/>
      <c r="L365" s="106"/>
      <c r="M365" s="106"/>
      <c r="N365" s="106"/>
      <c r="O365" s="106"/>
      <c r="P365" s="106"/>
    </row>
    <row r="366" spans="2:16" x14ac:dyDescent="0.25">
      <c r="B366" s="32"/>
      <c r="C366" s="33" t="s">
        <v>825</v>
      </c>
      <c r="D366" s="107" t="s">
        <v>826</v>
      </c>
      <c r="E366" s="107"/>
      <c r="F366" s="107"/>
      <c r="G366" s="107"/>
      <c r="H366" s="107"/>
      <c r="I366" s="107"/>
      <c r="J366" s="107"/>
      <c r="K366" s="107"/>
      <c r="L366" s="107"/>
      <c r="M366" s="107"/>
      <c r="N366" s="107"/>
      <c r="O366" s="107"/>
      <c r="P366" s="107"/>
    </row>
    <row r="367" spans="2:16" ht="30" x14ac:dyDescent="0.25">
      <c r="B367" s="23">
        <v>220</v>
      </c>
      <c r="C367" s="24" t="s">
        <v>827</v>
      </c>
      <c r="D367" s="25" t="s">
        <v>828</v>
      </c>
      <c r="E367" s="25" t="s">
        <v>829</v>
      </c>
      <c r="F367" s="26">
        <v>2</v>
      </c>
      <c r="G367" s="27">
        <v>1</v>
      </c>
      <c r="H367" s="28">
        <f>F367 * G367 * 86.655656</f>
        <v>173.31131199999999</v>
      </c>
      <c r="I367" s="28">
        <f>F367 * G367 * 404.57232</f>
        <v>809.14463999999998</v>
      </c>
      <c r="J367" s="28">
        <f>F367 * G367 * 0</f>
        <v>0</v>
      </c>
      <c r="K367" s="28">
        <f>F367 * G367 * 82.496184</f>
        <v>164.992368</v>
      </c>
      <c r="L367" s="28">
        <f>F367 * G367 * 60.241037</f>
        <v>120.482074</v>
      </c>
      <c r="M367" s="28">
        <f>F367 * G367 * 17.331131</f>
        <v>34.662261999999998</v>
      </c>
      <c r="N367" s="29">
        <f>SUM(H367:M367)</f>
        <v>1302.592656</v>
      </c>
      <c r="O367" s="92">
        <f t="shared" ref="O367:O368" si="123">N367*1.07*1.09*1.05</f>
        <v>1595.1745054274404</v>
      </c>
      <c r="P367" s="30">
        <f t="shared" ref="P367:P368" si="124">IF($P$10&gt;0,O367/$P$10/12,0)</f>
        <v>1.427679183606702E-2</v>
      </c>
    </row>
    <row r="368" spans="2:16" ht="30" x14ac:dyDescent="0.25">
      <c r="B368" s="23">
        <v>221</v>
      </c>
      <c r="C368" s="24" t="s">
        <v>830</v>
      </c>
      <c r="D368" s="25" t="s">
        <v>831</v>
      </c>
      <c r="E368" s="25" t="s">
        <v>829</v>
      </c>
      <c r="F368" s="26">
        <v>2</v>
      </c>
      <c r="G368" s="27">
        <v>1</v>
      </c>
      <c r="H368" s="28">
        <f>F368 * G368 * 86.655656</f>
        <v>173.31131199999999</v>
      </c>
      <c r="I368" s="28">
        <f>F368 * G368 * 632.772</f>
        <v>1265.5440000000001</v>
      </c>
      <c r="J368" s="28">
        <f>F368 * G368 * 0</f>
        <v>0</v>
      </c>
      <c r="K368" s="28">
        <f>F368 * G368 * 82.496184</f>
        <v>164.992368</v>
      </c>
      <c r="L368" s="28">
        <f>F368 * G368 * 84.202003</f>
        <v>168.40400600000001</v>
      </c>
      <c r="M368" s="28">
        <f>F368 * G368 * 17.331131</f>
        <v>34.662261999999998</v>
      </c>
      <c r="N368" s="29">
        <f>SUM(H368:M368)</f>
        <v>1806.9139480000001</v>
      </c>
      <c r="O368" s="92">
        <f t="shared" si="123"/>
        <v>2212.7739244300205</v>
      </c>
      <c r="P368" s="30">
        <f t="shared" si="124"/>
        <v>1.9804298897630229E-2</v>
      </c>
    </row>
    <row r="369" spans="2:16" x14ac:dyDescent="0.25">
      <c r="B369" s="32"/>
      <c r="C369" s="33" t="s">
        <v>832</v>
      </c>
      <c r="D369" s="107" t="s">
        <v>833</v>
      </c>
      <c r="E369" s="107"/>
      <c r="F369" s="107"/>
      <c r="G369" s="107"/>
      <c r="H369" s="107"/>
      <c r="I369" s="107"/>
      <c r="J369" s="107"/>
      <c r="K369" s="107"/>
      <c r="L369" s="107"/>
      <c r="M369" s="107"/>
      <c r="N369" s="107"/>
      <c r="O369" s="107"/>
      <c r="P369" s="107"/>
    </row>
    <row r="370" spans="2:16" ht="30" x14ac:dyDescent="0.25">
      <c r="B370" s="23">
        <v>222</v>
      </c>
      <c r="C370" s="24" t="s">
        <v>834</v>
      </c>
      <c r="D370" s="25" t="s">
        <v>835</v>
      </c>
      <c r="E370" s="25" t="s">
        <v>829</v>
      </c>
      <c r="F370" s="26">
        <v>2</v>
      </c>
      <c r="G370" s="27">
        <v>1</v>
      </c>
      <c r="H370" s="28">
        <f>F370 * G370 * 86.655656</f>
        <v>173.31131199999999</v>
      </c>
      <c r="I370" s="28">
        <f>F370 * G370 * 1234.50804</f>
        <v>2469.0160799999999</v>
      </c>
      <c r="J370" s="28">
        <f>F370 * G370 * 0</f>
        <v>0</v>
      </c>
      <c r="K370" s="28">
        <f>F370 * G370 * 82.496184</f>
        <v>164.992368</v>
      </c>
      <c r="L370" s="28">
        <f>F370 * G370 * 147.384287</f>
        <v>294.768574</v>
      </c>
      <c r="M370" s="28">
        <f>F370 * G370 * 17.331131</f>
        <v>34.662261999999998</v>
      </c>
      <c r="N370" s="29">
        <f>SUM(H370:M370)</f>
        <v>3136.7505959999999</v>
      </c>
      <c r="O370" s="92">
        <f t="shared" ref="O370:O372" si="125">N370*1.07*1.09*1.05</f>
        <v>3841.3118311205403</v>
      </c>
      <c r="P370" s="30">
        <f t="shared" ref="P370:P372" si="126">IF($P$10&gt;0,O370/$P$10/12,0)</f>
        <v>3.4379692756958978E-2</v>
      </c>
    </row>
    <row r="371" spans="2:16" ht="30" x14ac:dyDescent="0.25">
      <c r="B371" s="23">
        <v>223</v>
      </c>
      <c r="C371" s="24" t="s">
        <v>836</v>
      </c>
      <c r="D371" s="25" t="s">
        <v>837</v>
      </c>
      <c r="E371" s="25" t="s">
        <v>829</v>
      </c>
      <c r="F371" s="26">
        <v>2</v>
      </c>
      <c r="G371" s="27">
        <v>1</v>
      </c>
      <c r="H371" s="28">
        <f>F371 * G371 * 86.655656</f>
        <v>173.31131199999999</v>
      </c>
      <c r="I371" s="28">
        <f>F371 * G371 * 1890.2808</f>
        <v>3780.5616</v>
      </c>
      <c r="J371" s="28">
        <f>F371 * G371 * 0</f>
        <v>0</v>
      </c>
      <c r="K371" s="28">
        <f>F371 * G371 * 82.496184</f>
        <v>164.992368</v>
      </c>
      <c r="L371" s="28">
        <f>F371 * G371 * 216.240427</f>
        <v>432.48085400000002</v>
      </c>
      <c r="M371" s="28">
        <f>F371 * G371 * 17.331131</f>
        <v>34.662261999999998</v>
      </c>
      <c r="N371" s="29">
        <f>SUM(H371:M371)</f>
        <v>4586.0083960000002</v>
      </c>
      <c r="O371" s="92">
        <f t="shared" si="125"/>
        <v>5616.0946718675414</v>
      </c>
      <c r="P371" s="30">
        <f t="shared" si="126"/>
        <v>5.0263976943646781E-2</v>
      </c>
    </row>
    <row r="372" spans="2:16" ht="45" x14ac:dyDescent="0.25">
      <c r="B372" s="23">
        <v>224</v>
      </c>
      <c r="C372" s="24" t="s">
        <v>838</v>
      </c>
      <c r="D372" s="25" t="s">
        <v>839</v>
      </c>
      <c r="E372" s="25" t="s">
        <v>840</v>
      </c>
      <c r="F372" s="26"/>
      <c r="G372" s="27">
        <v>2</v>
      </c>
      <c r="H372" s="28">
        <f>F372 * G372 * 13171.2352</f>
        <v>0</v>
      </c>
      <c r="I372" s="28">
        <f>F372 * G372 * 0</f>
        <v>0</v>
      </c>
      <c r="J372" s="28">
        <f>F372 * G372 * 0</f>
        <v>0</v>
      </c>
      <c r="K372" s="28">
        <f>F372 * G372 * 12539.0159099999</f>
        <v>0</v>
      </c>
      <c r="L372" s="28">
        <f>F372 * G372 * 2699.576367</f>
        <v>0</v>
      </c>
      <c r="M372" s="28">
        <f>F372 * G372 * 2634.24704</f>
        <v>0</v>
      </c>
      <c r="N372" s="29">
        <f>SUM(H372:M372)</f>
        <v>0</v>
      </c>
      <c r="O372" s="92">
        <f t="shared" si="125"/>
        <v>0</v>
      </c>
      <c r="P372" s="30">
        <f t="shared" si="126"/>
        <v>0</v>
      </c>
    </row>
    <row r="373" spans="2:16" ht="13.9" customHeight="1" x14ac:dyDescent="0.25">
      <c r="B373" s="21"/>
      <c r="C373" s="22" t="s">
        <v>327</v>
      </c>
      <c r="D373" s="105" t="s">
        <v>328</v>
      </c>
      <c r="E373" s="105"/>
      <c r="F373" s="105"/>
      <c r="G373" s="105"/>
      <c r="H373" s="105"/>
      <c r="I373" s="105"/>
      <c r="J373" s="105"/>
      <c r="K373" s="105"/>
      <c r="L373" s="105"/>
      <c r="M373" s="105"/>
      <c r="N373" s="105"/>
      <c r="O373" s="105"/>
      <c r="P373" s="105"/>
    </row>
    <row r="374" spans="2:16" x14ac:dyDescent="0.25">
      <c r="B374" s="32"/>
      <c r="C374" s="33" t="s">
        <v>841</v>
      </c>
      <c r="D374" s="106" t="s">
        <v>842</v>
      </c>
      <c r="E374" s="106"/>
      <c r="F374" s="106"/>
      <c r="G374" s="106"/>
      <c r="H374" s="106"/>
      <c r="I374" s="106"/>
      <c r="J374" s="106"/>
      <c r="K374" s="106"/>
      <c r="L374" s="106"/>
      <c r="M374" s="106"/>
      <c r="N374" s="106"/>
      <c r="O374" s="106"/>
      <c r="P374" s="106"/>
    </row>
    <row r="375" spans="2:16" x14ac:dyDescent="0.25">
      <c r="B375" s="32"/>
      <c r="C375" s="33" t="s">
        <v>843</v>
      </c>
      <c r="D375" s="107" t="s">
        <v>844</v>
      </c>
      <c r="E375" s="107"/>
      <c r="F375" s="107"/>
      <c r="G375" s="107"/>
      <c r="H375" s="107"/>
      <c r="I375" s="107"/>
      <c r="J375" s="107"/>
      <c r="K375" s="107"/>
      <c r="L375" s="107"/>
      <c r="M375" s="107"/>
      <c r="N375" s="107"/>
      <c r="O375" s="107"/>
      <c r="P375" s="107"/>
    </row>
    <row r="376" spans="2:16" ht="45" x14ac:dyDescent="0.25">
      <c r="B376" s="23">
        <v>225</v>
      </c>
      <c r="C376" s="24" t="s">
        <v>845</v>
      </c>
      <c r="D376" s="25" t="s">
        <v>846</v>
      </c>
      <c r="E376" s="25" t="s">
        <v>847</v>
      </c>
      <c r="F376" s="26">
        <v>1.3009999999999999</v>
      </c>
      <c r="G376" s="27">
        <v>1</v>
      </c>
      <c r="H376" s="28">
        <f>F376 * G376 * 912.1648</f>
        <v>1186.7264048</v>
      </c>
      <c r="I376" s="28">
        <f>F376 * G376 * 0</f>
        <v>0</v>
      </c>
      <c r="J376" s="28">
        <f>F376 * G376 * 0</f>
        <v>0</v>
      </c>
      <c r="K376" s="28">
        <f>F376 * G376 * 868.380889999999</f>
        <v>1129.7635378899986</v>
      </c>
      <c r="L376" s="28">
        <f>F376 * G376 * 186.957296999999</f>
        <v>243.23144339699869</v>
      </c>
      <c r="M376" s="28">
        <f>F376 * G376 * 182.43296</f>
        <v>237.34528096</v>
      </c>
      <c r="N376" s="29">
        <f>SUM(H376:M376)</f>
        <v>2797.0666670469968</v>
      </c>
      <c r="O376" s="92">
        <f>N376*1.07*1.09*1.05</f>
        <v>3425.3297964657581</v>
      </c>
      <c r="P376" s="30">
        <f>IF($P$10&gt;0,O376/$P$10/12,0)</f>
        <v>3.0656658759046274E-2</v>
      </c>
    </row>
    <row r="377" spans="2:16" x14ac:dyDescent="0.25">
      <c r="B377" s="32"/>
      <c r="C377" s="33" t="s">
        <v>848</v>
      </c>
      <c r="D377" s="107" t="s">
        <v>849</v>
      </c>
      <c r="E377" s="107"/>
      <c r="F377" s="107"/>
      <c r="G377" s="107"/>
      <c r="H377" s="107"/>
      <c r="I377" s="107"/>
      <c r="J377" s="107"/>
      <c r="K377" s="107"/>
      <c r="L377" s="107"/>
      <c r="M377" s="107"/>
      <c r="N377" s="107"/>
      <c r="O377" s="107"/>
      <c r="P377" s="107"/>
    </row>
    <row r="378" spans="2:16" ht="30" x14ac:dyDescent="0.25">
      <c r="B378" s="23">
        <v>226</v>
      </c>
      <c r="C378" s="24" t="s">
        <v>850</v>
      </c>
      <c r="D378" s="25" t="s">
        <v>851</v>
      </c>
      <c r="E378" s="25" t="s">
        <v>530</v>
      </c>
      <c r="F378" s="26">
        <v>0.31859999999999999</v>
      </c>
      <c r="G378" s="27">
        <v>1</v>
      </c>
      <c r="H378" s="28">
        <f>F378 * G378 * 847.96272</f>
        <v>270.16092259200002</v>
      </c>
      <c r="I378" s="28">
        <f>F378 * G378 * 0</f>
        <v>0</v>
      </c>
      <c r="J378" s="28">
        <f>F378 * G378 * 68.63325</f>
        <v>21.866553450000001</v>
      </c>
      <c r="K378" s="28">
        <f>F378 * G378 * 807.260509</f>
        <v>257.1931981674</v>
      </c>
      <c r="L378" s="28">
        <f>F378 * G378 * 181.00493</f>
        <v>57.668170697999997</v>
      </c>
      <c r="M378" s="28">
        <f>F378 * G378 * 169.592544</f>
        <v>54.032184518400001</v>
      </c>
      <c r="N378" s="29">
        <f t="shared" ref="N378:N384" si="127">SUM(H378:M378)</f>
        <v>660.92102942580004</v>
      </c>
      <c r="O378" s="92">
        <f t="shared" ref="O378:O384" si="128">N378*1.07*1.09*1.05</f>
        <v>809.37380645027633</v>
      </c>
      <c r="P378" s="30">
        <f t="shared" ref="P378:P384" si="129">IF($P$10&gt;0,O378/$P$10/12,0)</f>
        <v>7.2438854262903765E-3</v>
      </c>
    </row>
    <row r="379" spans="2:16" ht="30" x14ac:dyDescent="0.25">
      <c r="B379" s="23">
        <v>227</v>
      </c>
      <c r="C379" s="24" t="s">
        <v>852</v>
      </c>
      <c r="D379" s="25" t="s">
        <v>853</v>
      </c>
      <c r="E379" s="25" t="s">
        <v>530</v>
      </c>
      <c r="F379" s="26">
        <v>0.31859999999999999</v>
      </c>
      <c r="G379" s="27">
        <v>1</v>
      </c>
      <c r="H379" s="28">
        <f>F379 * G379 * 794.001456</f>
        <v>252.96886388159999</v>
      </c>
      <c r="I379" s="28">
        <f>F379 * G379 * 8.09838</f>
        <v>2.580143868</v>
      </c>
      <c r="J379" s="28">
        <f>F379 * G379 * 0</f>
        <v>0</v>
      </c>
      <c r="K379" s="28">
        <f>F379 * G379 * 755.889386</f>
        <v>240.82635837959998</v>
      </c>
      <c r="L379" s="28">
        <f>F379 * G379 * 163.588868</f>
        <v>52.119413344799995</v>
      </c>
      <c r="M379" s="28">
        <f>F379 * G379 * 158.800291</f>
        <v>50.593772712599993</v>
      </c>
      <c r="N379" s="29">
        <f t="shared" si="127"/>
        <v>599.08855218659994</v>
      </c>
      <c r="O379" s="92">
        <f t="shared" si="128"/>
        <v>733.65282733599315</v>
      </c>
      <c r="P379" s="30">
        <f t="shared" si="129"/>
        <v>6.5661836120000823E-3</v>
      </c>
    </row>
    <row r="380" spans="2:16" ht="30" x14ac:dyDescent="0.25">
      <c r="B380" s="23">
        <v>228</v>
      </c>
      <c r="C380" s="24" t="s">
        <v>854</v>
      </c>
      <c r="D380" s="25" t="s">
        <v>855</v>
      </c>
      <c r="E380" s="25" t="s">
        <v>530</v>
      </c>
      <c r="F380" s="26">
        <v>0.31859999999999999</v>
      </c>
      <c r="G380" s="27">
        <v>1</v>
      </c>
      <c r="H380" s="28">
        <f>F380 * G380 * 334.045917</f>
        <v>106.42702915619999</v>
      </c>
      <c r="I380" s="28">
        <f>F380 * G380 * 0</f>
        <v>0</v>
      </c>
      <c r="J380" s="28">
        <f>F380 * G380 * 68.63325</f>
        <v>21.866553450000001</v>
      </c>
      <c r="K380" s="28">
        <f>F380 * G380 * 318.011713</f>
        <v>101.31853176179999</v>
      </c>
      <c r="L380" s="28">
        <f>F380 * G380 * 75.6725419999999</f>
        <v>24.109271881199966</v>
      </c>
      <c r="M380" s="28">
        <f>F380 * G380 * 66.809183</f>
        <v>21.285405703800002</v>
      </c>
      <c r="N380" s="29">
        <f t="shared" si="127"/>
        <v>275.00679195299995</v>
      </c>
      <c r="O380" s="92">
        <f t="shared" si="128"/>
        <v>336.77744252752308</v>
      </c>
      <c r="P380" s="30">
        <f t="shared" si="129"/>
        <v>3.0141538908058842E-3</v>
      </c>
    </row>
    <row r="381" spans="2:16" ht="30" x14ac:dyDescent="0.25">
      <c r="B381" s="23">
        <v>229</v>
      </c>
      <c r="C381" s="24" t="s">
        <v>856</v>
      </c>
      <c r="D381" s="25" t="s">
        <v>857</v>
      </c>
      <c r="E381" s="25" t="s">
        <v>530</v>
      </c>
      <c r="F381" s="26">
        <v>0.36059999999999998</v>
      </c>
      <c r="G381" s="27">
        <v>1</v>
      </c>
      <c r="H381" s="28">
        <f>F381 * G381 * 847.96272</f>
        <v>305.775356832</v>
      </c>
      <c r="I381" s="28">
        <f>F381 * G381 * 0</f>
        <v>0</v>
      </c>
      <c r="J381" s="28">
        <f>F381 * G381 * 68.63325</f>
        <v>24.74914995</v>
      </c>
      <c r="K381" s="28">
        <f>F381 * G381 * 807.260509</f>
        <v>291.09813954539999</v>
      </c>
      <c r="L381" s="28">
        <f>F381 * G381 * 181.00493</f>
        <v>65.270377757999995</v>
      </c>
      <c r="M381" s="28">
        <f>F381 * G381 * 169.592544</f>
        <v>61.155071366399994</v>
      </c>
      <c r="N381" s="29">
        <f t="shared" si="127"/>
        <v>748.0480954517999</v>
      </c>
      <c r="O381" s="92">
        <f t="shared" si="128"/>
        <v>916.07091841170609</v>
      </c>
      <c r="P381" s="30">
        <f t="shared" si="129"/>
        <v>8.198823241432231E-3</v>
      </c>
    </row>
    <row r="382" spans="2:16" ht="30" x14ac:dyDescent="0.25">
      <c r="B382" s="23">
        <v>230</v>
      </c>
      <c r="C382" s="24" t="s">
        <v>858</v>
      </c>
      <c r="D382" s="25" t="s">
        <v>859</v>
      </c>
      <c r="E382" s="25" t="s">
        <v>530</v>
      </c>
      <c r="F382" s="26">
        <v>0.36059999999999998</v>
      </c>
      <c r="G382" s="27">
        <v>1</v>
      </c>
      <c r="H382" s="28">
        <f>F382 * G382 * 794.001456</f>
        <v>286.31692503359994</v>
      </c>
      <c r="I382" s="28">
        <f>F382 * G382 * 8.09838</f>
        <v>2.9202758279999999</v>
      </c>
      <c r="J382" s="28">
        <f>F382 * G382 * 0</f>
        <v>0</v>
      </c>
      <c r="K382" s="28">
        <f>F382 * G382 * 755.889386</f>
        <v>272.57371259159999</v>
      </c>
      <c r="L382" s="28">
        <f>F382 * G382 * 163.588868</f>
        <v>58.990145800799993</v>
      </c>
      <c r="M382" s="28">
        <f>F382 * G382 * 158.800291</f>
        <v>57.263384934599991</v>
      </c>
      <c r="N382" s="29">
        <f t="shared" si="127"/>
        <v>678.06444418859985</v>
      </c>
      <c r="O382" s="92">
        <f t="shared" si="128"/>
        <v>830.36788932002241</v>
      </c>
      <c r="P382" s="30">
        <f t="shared" si="129"/>
        <v>7.4317822049191143E-3</v>
      </c>
    </row>
    <row r="383" spans="2:16" ht="30" x14ac:dyDescent="0.25">
      <c r="B383" s="23">
        <v>231</v>
      </c>
      <c r="C383" s="24" t="s">
        <v>860</v>
      </c>
      <c r="D383" s="25" t="s">
        <v>861</v>
      </c>
      <c r="E383" s="25" t="s">
        <v>530</v>
      </c>
      <c r="F383" s="26">
        <v>0.36059999999999998</v>
      </c>
      <c r="G383" s="27">
        <v>1</v>
      </c>
      <c r="H383" s="28">
        <f>F383 * G383 * 331.476336</f>
        <v>119.53036676159999</v>
      </c>
      <c r="I383" s="28">
        <f>F383 * G383 * 0</f>
        <v>0</v>
      </c>
      <c r="J383" s="28">
        <f>F383 * G383 * 68.63325</f>
        <v>24.74914995</v>
      </c>
      <c r="K383" s="28">
        <f>F383 * G383 * 315.565471</f>
        <v>113.7929088426</v>
      </c>
      <c r="L383" s="28">
        <f>F383 * G383 * 75.1458809999999</f>
        <v>27.097604688599965</v>
      </c>
      <c r="M383" s="28">
        <f>F383 * G383 * 66.295267</f>
        <v>23.906073280199998</v>
      </c>
      <c r="N383" s="29">
        <f t="shared" si="127"/>
        <v>309.07610352299997</v>
      </c>
      <c r="O383" s="92">
        <f t="shared" si="128"/>
        <v>378.49923251581868</v>
      </c>
      <c r="P383" s="30">
        <f t="shared" si="129"/>
        <v>3.3875633884278334E-3</v>
      </c>
    </row>
    <row r="384" spans="2:16" ht="30" x14ac:dyDescent="0.25">
      <c r="B384" s="23">
        <v>232</v>
      </c>
      <c r="C384" s="24" t="s">
        <v>862</v>
      </c>
      <c r="D384" s="25" t="s">
        <v>863</v>
      </c>
      <c r="E384" s="25" t="s">
        <v>530</v>
      </c>
      <c r="F384" s="26">
        <v>0.36059999999999998</v>
      </c>
      <c r="G384" s="27">
        <v>1</v>
      </c>
      <c r="H384" s="28">
        <f>F384 * G384 * 24.29286</f>
        <v>8.7600053159999991</v>
      </c>
      <c r="I384" s="28">
        <f>F384 * G384 * 0</f>
        <v>0</v>
      </c>
      <c r="J384" s="28">
        <f>F384 * G384 * 0</f>
        <v>0</v>
      </c>
      <c r="K384" s="28">
        <f>F384 * G384 * 23.126803</f>
        <v>8.3395251617999993</v>
      </c>
      <c r="L384" s="28">
        <f>F384 * G384 * 4.97906399999999</f>
        <v>1.7954504783999965</v>
      </c>
      <c r="M384" s="28">
        <f>F384 * G384 * 4.858572</f>
        <v>1.7520010631999998</v>
      </c>
      <c r="N384" s="29">
        <f t="shared" si="127"/>
        <v>20.646982019399992</v>
      </c>
      <c r="O384" s="92">
        <f t="shared" si="128"/>
        <v>25.284603885687527</v>
      </c>
      <c r="P384" s="30">
        <f t="shared" si="129"/>
        <v>2.2629688796126023E-4</v>
      </c>
    </row>
    <row r="385" spans="2:16" x14ac:dyDescent="0.25">
      <c r="B385" s="32"/>
      <c r="C385" s="33" t="s">
        <v>864</v>
      </c>
      <c r="D385" s="107" t="s">
        <v>865</v>
      </c>
      <c r="E385" s="107"/>
      <c r="F385" s="107"/>
      <c r="G385" s="107"/>
      <c r="H385" s="107"/>
      <c r="I385" s="107"/>
      <c r="J385" s="107"/>
      <c r="K385" s="107"/>
      <c r="L385" s="107"/>
      <c r="M385" s="107"/>
      <c r="N385" s="107"/>
      <c r="O385" s="107"/>
      <c r="P385" s="107"/>
    </row>
    <row r="386" spans="2:16" ht="30" x14ac:dyDescent="0.25">
      <c r="B386" s="23">
        <v>233</v>
      </c>
      <c r="C386" s="24" t="s">
        <v>866</v>
      </c>
      <c r="D386" s="25" t="s">
        <v>867</v>
      </c>
      <c r="E386" s="25" t="s">
        <v>868</v>
      </c>
      <c r="F386" s="26">
        <v>19.189499999999999</v>
      </c>
      <c r="G386" s="27">
        <v>1</v>
      </c>
      <c r="H386" s="28">
        <f>F386 * G386 * 187.25954</f>
        <v>3593.4169428299997</v>
      </c>
      <c r="I386" s="28">
        <f>F386 * G386 * 0</f>
        <v>0</v>
      </c>
      <c r="J386" s="28">
        <f>F386 * G386 * 0</f>
        <v>0</v>
      </c>
      <c r="K386" s="28">
        <f>F386 * G386 * 178.271081999999</f>
        <v>3420.9329280389807</v>
      </c>
      <c r="L386" s="28">
        <f>F386 * G386 * 38.3807149999999</f>
        <v>736.50673049249804</v>
      </c>
      <c r="M386" s="28">
        <f>F386 * G386 * 37.451908</f>
        <v>718.68338856599996</v>
      </c>
      <c r="N386" s="29">
        <f>SUM(H386:M386)</f>
        <v>8469.539989927478</v>
      </c>
      <c r="O386" s="92">
        <f t="shared" ref="O386:O387" si="130">N386*1.07*1.09*1.05</f>
        <v>10371.925714765039</v>
      </c>
      <c r="P386" s="30">
        <f t="shared" ref="P386:P387" si="131">IF($P$10&gt;0,O386/$P$10/12,0)</f>
        <v>9.282860518709983E-2</v>
      </c>
    </row>
    <row r="387" spans="2:16" ht="30" x14ac:dyDescent="0.25">
      <c r="B387" s="23">
        <v>234</v>
      </c>
      <c r="C387" s="24" t="s">
        <v>869</v>
      </c>
      <c r="D387" s="25" t="s">
        <v>870</v>
      </c>
      <c r="E387" s="25" t="s">
        <v>868</v>
      </c>
      <c r="F387" s="26">
        <v>19.189499999999999</v>
      </c>
      <c r="G387" s="27">
        <v>1</v>
      </c>
      <c r="H387" s="28">
        <f>F387 * G387 * 187.25954</f>
        <v>3593.4169428299997</v>
      </c>
      <c r="I387" s="28">
        <f>F387 * G387 * 0</f>
        <v>0</v>
      </c>
      <c r="J387" s="28">
        <f>F387 * G387 * 0</f>
        <v>0</v>
      </c>
      <c r="K387" s="28">
        <f>F387 * G387 * 178.271081999999</f>
        <v>3420.9329280389807</v>
      </c>
      <c r="L387" s="28">
        <f>F387 * G387 * 38.3807149999999</f>
        <v>736.50673049249804</v>
      </c>
      <c r="M387" s="28">
        <f>F387 * G387 * 37.451908</f>
        <v>718.68338856599996</v>
      </c>
      <c r="N387" s="29">
        <f>SUM(H387:M387)</f>
        <v>8469.539989927478</v>
      </c>
      <c r="O387" s="92">
        <f t="shared" si="130"/>
        <v>10371.925714765039</v>
      </c>
      <c r="P387" s="30">
        <f t="shared" si="131"/>
        <v>9.282860518709983E-2</v>
      </c>
    </row>
    <row r="388" spans="2:16" x14ac:dyDescent="0.25">
      <c r="B388" s="32"/>
      <c r="C388" s="33" t="s">
        <v>670</v>
      </c>
      <c r="D388" s="106" t="s">
        <v>671</v>
      </c>
      <c r="E388" s="106"/>
      <c r="F388" s="106"/>
      <c r="G388" s="106"/>
      <c r="H388" s="106"/>
      <c r="I388" s="106"/>
      <c r="J388" s="106"/>
      <c r="K388" s="106"/>
      <c r="L388" s="106"/>
      <c r="M388" s="106"/>
      <c r="N388" s="106"/>
      <c r="O388" s="106"/>
      <c r="P388" s="106"/>
    </row>
    <row r="389" spans="2:16" x14ac:dyDescent="0.25">
      <c r="B389" s="32"/>
      <c r="C389" s="33" t="s">
        <v>871</v>
      </c>
      <c r="D389" s="107" t="s">
        <v>872</v>
      </c>
      <c r="E389" s="107"/>
      <c r="F389" s="107"/>
      <c r="G389" s="107"/>
      <c r="H389" s="107"/>
      <c r="I389" s="107"/>
      <c r="J389" s="107"/>
      <c r="K389" s="107"/>
      <c r="L389" s="107"/>
      <c r="M389" s="107"/>
      <c r="N389" s="107"/>
      <c r="O389" s="107"/>
      <c r="P389" s="107"/>
    </row>
    <row r="390" spans="2:16" ht="45" x14ac:dyDescent="0.25">
      <c r="B390" s="23">
        <v>235</v>
      </c>
      <c r="C390" s="24" t="s">
        <v>873</v>
      </c>
      <c r="D390" s="25" t="s">
        <v>874</v>
      </c>
      <c r="E390" s="25" t="s">
        <v>875</v>
      </c>
      <c r="F390" s="26">
        <v>1</v>
      </c>
      <c r="G390" s="27">
        <v>1</v>
      </c>
      <c r="H390" s="28">
        <f>F390 * G390 * 22.80412</f>
        <v>22.804120000000001</v>
      </c>
      <c r="I390" s="28">
        <f>F390 * G390 * 0</f>
        <v>0</v>
      </c>
      <c r="J390" s="28">
        <f>F390 * G390 * 0</f>
        <v>0</v>
      </c>
      <c r="K390" s="28">
        <f>F390 * G390 * 21.709522</f>
        <v>21.709522</v>
      </c>
      <c r="L390" s="28">
        <f>F390 * G390 * 4.673932</f>
        <v>4.6739319999999998</v>
      </c>
      <c r="M390" s="28">
        <f>F390 * G390 * 4.560824</f>
        <v>4.5608240000000002</v>
      </c>
      <c r="N390" s="29">
        <f>SUM(H390:M390)</f>
        <v>53.748398000000009</v>
      </c>
      <c r="O390" s="92">
        <f t="shared" ref="O390:O392" si="132">N390*1.07*1.09*1.05</f>
        <v>65.821094416770023</v>
      </c>
      <c r="P390" s="30">
        <f t="shared" ref="P390:P392" si="133">IF($P$10&gt;0,O390/$P$10/12,0)</f>
        <v>5.8909797029293336E-4</v>
      </c>
    </row>
    <row r="391" spans="2:16" ht="30" x14ac:dyDescent="0.25">
      <c r="B391" s="23">
        <v>236</v>
      </c>
      <c r="C391" s="24" t="s">
        <v>876</v>
      </c>
      <c r="D391" s="25" t="s">
        <v>877</v>
      </c>
      <c r="E391" s="25" t="s">
        <v>875</v>
      </c>
      <c r="F391" s="26">
        <v>1</v>
      </c>
      <c r="G391" s="27">
        <v>12</v>
      </c>
      <c r="H391" s="28">
        <f>F391 * G391 * 20.24405</f>
        <v>242.92860000000002</v>
      </c>
      <c r="I391" s="28">
        <f>F391 * G391 * 0</f>
        <v>0</v>
      </c>
      <c r="J391" s="28">
        <f>F391 * G391 * 0</f>
        <v>0</v>
      </c>
      <c r="K391" s="28">
        <f>F391 * G391 * 19.272336</f>
        <v>231.26803200000001</v>
      </c>
      <c r="L391" s="28">
        <f>F391 * G391 * 4.149221</f>
        <v>49.790651999999994</v>
      </c>
      <c r="M391" s="28">
        <f>F391 * G391 * 4.04881</f>
        <v>48.585719999999995</v>
      </c>
      <c r="N391" s="29">
        <f>SUM(H391:M391)</f>
        <v>572.57300400000008</v>
      </c>
      <c r="O391" s="92">
        <f t="shared" si="132"/>
        <v>701.18148929346012</v>
      </c>
      <c r="P391" s="30">
        <f t="shared" si="133"/>
        <v>6.2755655433847065E-3</v>
      </c>
    </row>
    <row r="392" spans="2:16" ht="45" x14ac:dyDescent="0.25">
      <c r="B392" s="23">
        <v>237</v>
      </c>
      <c r="C392" s="24" t="s">
        <v>878</v>
      </c>
      <c r="D392" s="25" t="s">
        <v>879</v>
      </c>
      <c r="E392" s="25" t="s">
        <v>875</v>
      </c>
      <c r="F392" s="26">
        <v>1</v>
      </c>
      <c r="G392" s="27">
        <v>1</v>
      </c>
      <c r="H392" s="28">
        <f>F392 * G392 * 60.73215</f>
        <v>60.732149999999997</v>
      </c>
      <c r="I392" s="28">
        <f>F392 * G392 * 0</f>
        <v>0</v>
      </c>
      <c r="J392" s="28">
        <f>F392 * G392 * 0</f>
        <v>0</v>
      </c>
      <c r="K392" s="28">
        <f>F392 * G392 * 57.817006</f>
        <v>57.817005999999999</v>
      </c>
      <c r="L392" s="28">
        <f>F392 * G392 * 12.447662</f>
        <v>12.447661999999999</v>
      </c>
      <c r="M392" s="28">
        <f>F392 * G392 * 12.14643</f>
        <v>12.146430000000001</v>
      </c>
      <c r="N392" s="29">
        <f>SUM(H392:M392)</f>
        <v>143.143248</v>
      </c>
      <c r="O392" s="92">
        <f t="shared" si="132"/>
        <v>175.29536864952001</v>
      </c>
      <c r="P392" s="30">
        <f t="shared" si="133"/>
        <v>1.56889135296531E-3</v>
      </c>
    </row>
    <row r="393" spans="2:16" x14ac:dyDescent="0.25">
      <c r="B393" s="32"/>
      <c r="C393" s="33" t="s">
        <v>880</v>
      </c>
      <c r="D393" s="107" t="s">
        <v>881</v>
      </c>
      <c r="E393" s="107"/>
      <c r="F393" s="107"/>
      <c r="G393" s="107"/>
      <c r="H393" s="107"/>
      <c r="I393" s="107"/>
      <c r="J393" s="107"/>
      <c r="K393" s="107"/>
      <c r="L393" s="107"/>
      <c r="M393" s="107"/>
      <c r="N393" s="107"/>
      <c r="O393" s="107"/>
      <c r="P393" s="107"/>
    </row>
    <row r="394" spans="2:16" ht="45" x14ac:dyDescent="0.25">
      <c r="B394" s="23">
        <v>238</v>
      </c>
      <c r="C394" s="24" t="s">
        <v>882</v>
      </c>
      <c r="D394" s="25" t="s">
        <v>883</v>
      </c>
      <c r="E394" s="25" t="s">
        <v>875</v>
      </c>
      <c r="F394" s="26">
        <v>1</v>
      </c>
      <c r="G394" s="27">
        <v>1</v>
      </c>
      <c r="H394" s="28">
        <f>F394 * G394 * 36.486592</f>
        <v>36.486592000000002</v>
      </c>
      <c r="I394" s="28">
        <f>F394 * G394 * 0</f>
        <v>0</v>
      </c>
      <c r="J394" s="28">
        <f>F394 * G394 * 0</f>
        <v>0</v>
      </c>
      <c r="K394" s="28">
        <f>F394 * G394 * 34.735236</f>
        <v>34.735236</v>
      </c>
      <c r="L394" s="28">
        <f>F394 * G394 * 7.478292</f>
        <v>7.4782919999999997</v>
      </c>
      <c r="M394" s="28">
        <f>F394 * G394 * 7.297318</f>
        <v>7.2973179999999997</v>
      </c>
      <c r="N394" s="29">
        <f>SUM(H394:M394)</f>
        <v>85.997438000000002</v>
      </c>
      <c r="O394" s="92">
        <f t="shared" ref="O394:O397" si="134">N394*1.07*1.09*1.05</f>
        <v>105.31375253637003</v>
      </c>
      <c r="P394" s="30">
        <f t="shared" ref="P394:P397" si="135">IF($P$10&gt;0,O394/$P$10/12,0)</f>
        <v>9.4255676562103987E-4</v>
      </c>
    </row>
    <row r="395" spans="2:16" ht="30" x14ac:dyDescent="0.25">
      <c r="B395" s="23">
        <v>239</v>
      </c>
      <c r="C395" s="24" t="s">
        <v>884</v>
      </c>
      <c r="D395" s="25" t="s">
        <v>885</v>
      </c>
      <c r="E395" s="25" t="s">
        <v>875</v>
      </c>
      <c r="F395" s="26">
        <v>1</v>
      </c>
      <c r="G395" s="27">
        <v>12</v>
      </c>
      <c r="H395" s="28">
        <f>F395 * G395 * 20.24405</f>
        <v>242.92860000000002</v>
      </c>
      <c r="I395" s="28">
        <f>F395 * G395 * 0</f>
        <v>0</v>
      </c>
      <c r="J395" s="28">
        <f>F395 * G395 * 0</f>
        <v>0</v>
      </c>
      <c r="K395" s="28">
        <f>F395 * G395 * 19.272336</f>
        <v>231.26803200000001</v>
      </c>
      <c r="L395" s="28">
        <f>F395 * G395 * 4.149221</f>
        <v>49.790651999999994</v>
      </c>
      <c r="M395" s="28">
        <f>F395 * G395 * 4.04881</f>
        <v>48.585719999999995</v>
      </c>
      <c r="N395" s="29">
        <f>SUM(H395:M395)</f>
        <v>572.57300400000008</v>
      </c>
      <c r="O395" s="92">
        <f t="shared" si="134"/>
        <v>701.18148929346012</v>
      </c>
      <c r="P395" s="30">
        <f t="shared" si="135"/>
        <v>6.2755655433847065E-3</v>
      </c>
    </row>
    <row r="396" spans="2:16" ht="45" x14ac:dyDescent="0.25">
      <c r="B396" s="23">
        <v>240</v>
      </c>
      <c r="C396" s="24" t="s">
        <v>886</v>
      </c>
      <c r="D396" s="25" t="s">
        <v>887</v>
      </c>
      <c r="E396" s="25" t="s">
        <v>683</v>
      </c>
      <c r="F396" s="26">
        <v>1</v>
      </c>
      <c r="G396" s="27">
        <v>1</v>
      </c>
      <c r="H396" s="28">
        <f>F396 * G396 * 60.73215</f>
        <v>60.732149999999997</v>
      </c>
      <c r="I396" s="28">
        <f>F396 * G396 * 0</f>
        <v>0</v>
      </c>
      <c r="J396" s="28">
        <f>F396 * G396 * 0</f>
        <v>0</v>
      </c>
      <c r="K396" s="28">
        <f>F396 * G396 * 57.817006</f>
        <v>57.817005999999999</v>
      </c>
      <c r="L396" s="28">
        <f>F396 * G396 * 12.447662</f>
        <v>12.447661999999999</v>
      </c>
      <c r="M396" s="28">
        <f>F396 * G396 * 12.14643</f>
        <v>12.146430000000001</v>
      </c>
      <c r="N396" s="29">
        <f>SUM(H396:M396)</f>
        <v>143.143248</v>
      </c>
      <c r="O396" s="92">
        <f t="shared" si="134"/>
        <v>175.29536864952001</v>
      </c>
      <c r="P396" s="30">
        <f t="shared" si="135"/>
        <v>1.56889135296531E-3</v>
      </c>
    </row>
    <row r="397" spans="2:16" ht="45" x14ac:dyDescent="0.25">
      <c r="B397" s="23">
        <v>241</v>
      </c>
      <c r="C397" s="24" t="s">
        <v>888</v>
      </c>
      <c r="D397" s="25" t="s">
        <v>889</v>
      </c>
      <c r="E397" s="25" t="s">
        <v>683</v>
      </c>
      <c r="F397" s="26">
        <v>1</v>
      </c>
      <c r="G397" s="27">
        <v>1</v>
      </c>
      <c r="H397" s="28">
        <f>F397 * G397 * 196.115432</f>
        <v>196.115432</v>
      </c>
      <c r="I397" s="28">
        <f>F397 * G397 * 0</f>
        <v>0</v>
      </c>
      <c r="J397" s="28">
        <f>F397 * G397 * 0</f>
        <v>0</v>
      </c>
      <c r="K397" s="28">
        <f>F397 * G397 * 186.701891</f>
        <v>186.70189099999999</v>
      </c>
      <c r="L397" s="28">
        <f>F397 * G397 * 40.195819</f>
        <v>40.195819</v>
      </c>
      <c r="M397" s="28">
        <f>F397 * G397 * 39.223086</f>
        <v>39.223086000000002</v>
      </c>
      <c r="N397" s="29">
        <f>SUM(H397:M397)</f>
        <v>462.23622800000004</v>
      </c>
      <c r="O397" s="92">
        <f t="shared" si="134"/>
        <v>566.06141835222024</v>
      </c>
      <c r="P397" s="30">
        <f t="shared" si="135"/>
        <v>5.0662426015127288E-3</v>
      </c>
    </row>
    <row r="398" spans="2:16" ht="13.9" customHeight="1" x14ac:dyDescent="0.25">
      <c r="B398" s="109" t="s">
        <v>387</v>
      </c>
      <c r="C398" s="109"/>
      <c r="D398" s="109"/>
      <c r="E398" s="109"/>
      <c r="F398" s="109"/>
      <c r="G398" s="109"/>
      <c r="H398" s="36">
        <f t="shared" ref="H398:P398" si="136">SUM(H318:H397)</f>
        <v>136961.90663477345</v>
      </c>
      <c r="I398" s="36">
        <f t="shared" si="136"/>
        <v>183129.91860824346</v>
      </c>
      <c r="J398" s="36">
        <f t="shared" si="136"/>
        <v>93.231406800000002</v>
      </c>
      <c r="K398" s="36">
        <f t="shared" si="136"/>
        <v>130387.735117099</v>
      </c>
      <c r="L398" s="36">
        <f t="shared" si="136"/>
        <v>47310.14313711429</v>
      </c>
      <c r="M398" s="36">
        <f t="shared" si="136"/>
        <v>27392.381321698511</v>
      </c>
      <c r="N398" s="36">
        <f t="shared" si="136"/>
        <v>525275.3162257286</v>
      </c>
      <c r="O398" s="36">
        <f t="shared" si="136"/>
        <v>643260.03137977084</v>
      </c>
      <c r="P398" s="37">
        <f t="shared" si="136"/>
        <v>5.7571692208120373</v>
      </c>
    </row>
    <row r="399" spans="2:16" x14ac:dyDescent="0.25">
      <c r="B399" s="102" t="s">
        <v>890</v>
      </c>
      <c r="C399" s="102"/>
      <c r="D399" s="102"/>
      <c r="E399" s="102"/>
      <c r="F399" s="102"/>
      <c r="G399" s="102"/>
      <c r="H399" s="102"/>
      <c r="I399" s="102"/>
      <c r="J399" s="102"/>
      <c r="K399" s="102"/>
      <c r="L399" s="102"/>
      <c r="M399" s="110"/>
      <c r="N399" s="110"/>
      <c r="O399" s="49"/>
      <c r="P399" s="38"/>
    </row>
    <row r="400" spans="2:16" x14ac:dyDescent="0.25">
      <c r="B400" s="102"/>
      <c r="C400" s="102"/>
      <c r="D400" s="102"/>
      <c r="E400" s="102"/>
      <c r="F400" s="102"/>
      <c r="G400" s="102"/>
      <c r="H400" s="102"/>
      <c r="I400" s="102"/>
      <c r="J400" s="102"/>
      <c r="K400" s="102"/>
      <c r="L400" s="102"/>
      <c r="M400" s="111"/>
      <c r="N400" s="111"/>
      <c r="O400" s="93"/>
      <c r="P400" s="39"/>
    </row>
    <row r="401" spans="2:16" ht="13.9" customHeight="1" x14ac:dyDescent="0.25">
      <c r="B401" s="21"/>
      <c r="C401" s="22" t="s">
        <v>891</v>
      </c>
      <c r="D401" s="105" t="s">
        <v>892</v>
      </c>
      <c r="E401" s="105"/>
      <c r="F401" s="105"/>
      <c r="G401" s="105"/>
      <c r="H401" s="105"/>
      <c r="I401" s="105"/>
      <c r="J401" s="105"/>
      <c r="K401" s="105"/>
      <c r="L401" s="105"/>
      <c r="M401" s="105"/>
      <c r="N401" s="105"/>
      <c r="O401" s="105"/>
      <c r="P401" s="105"/>
    </row>
    <row r="402" spans="2:16" x14ac:dyDescent="0.25">
      <c r="B402" s="32"/>
      <c r="C402" s="33" t="s">
        <v>893</v>
      </c>
      <c r="D402" s="106" t="s">
        <v>894</v>
      </c>
      <c r="E402" s="106"/>
      <c r="F402" s="106"/>
      <c r="G402" s="106"/>
      <c r="H402" s="106"/>
      <c r="I402" s="106"/>
      <c r="J402" s="106"/>
      <c r="K402" s="106"/>
      <c r="L402" s="106"/>
      <c r="M402" s="106"/>
      <c r="N402" s="106"/>
      <c r="O402" s="106"/>
      <c r="P402" s="106"/>
    </row>
    <row r="403" spans="2:16" x14ac:dyDescent="0.25">
      <c r="B403" s="32"/>
      <c r="C403" s="33" t="s">
        <v>895</v>
      </c>
      <c r="D403" s="107" t="s">
        <v>896</v>
      </c>
      <c r="E403" s="107"/>
      <c r="F403" s="107"/>
      <c r="G403" s="107"/>
      <c r="H403" s="107"/>
      <c r="I403" s="107"/>
      <c r="J403" s="107"/>
      <c r="K403" s="107"/>
      <c r="L403" s="107"/>
      <c r="M403" s="107"/>
      <c r="N403" s="107"/>
      <c r="O403" s="107"/>
      <c r="P403" s="107"/>
    </row>
    <row r="404" spans="2:16" ht="30" x14ac:dyDescent="0.25">
      <c r="B404" s="23">
        <v>242</v>
      </c>
      <c r="C404" s="24" t="s">
        <v>897</v>
      </c>
      <c r="D404" s="25" t="s">
        <v>898</v>
      </c>
      <c r="E404" s="25" t="s">
        <v>899</v>
      </c>
      <c r="F404" s="26">
        <v>0.43020000000000003</v>
      </c>
      <c r="G404" s="27">
        <v>2</v>
      </c>
      <c r="H404" s="28">
        <f>F404 * G404 * 1214.12844</f>
        <v>1044.636109776</v>
      </c>
      <c r="I404" s="28">
        <f>F404 * G404 * 561.602173</f>
        <v>483.20250964920001</v>
      </c>
      <c r="J404" s="28">
        <f>F404 * G404 * 0</f>
        <v>0</v>
      </c>
      <c r="K404" s="28">
        <f>F404 * G404 * 1155.850275</f>
        <v>994.4935766100001</v>
      </c>
      <c r="L404" s="28">
        <f>F404 * G404 * 307.815993</f>
        <v>264.84488037720001</v>
      </c>
      <c r="M404" s="28">
        <f>F404 * G404 * 242.825688</f>
        <v>208.92722195520003</v>
      </c>
      <c r="N404" s="29">
        <f>SUM(H404:M404)</f>
        <v>2996.1042983675998</v>
      </c>
      <c r="O404" s="92">
        <f t="shared" ref="O404:O405" si="137">N404*1.07*1.09*1.05</f>
        <v>3669.074265345439</v>
      </c>
      <c r="P404" s="30">
        <f t="shared" ref="P404:P405" si="138">IF($P$10&gt;0,O404/$P$10/12,0)</f>
        <v>3.2838168701405497E-2</v>
      </c>
    </row>
    <row r="405" spans="2:16" ht="30" x14ac:dyDescent="0.25">
      <c r="B405" s="23">
        <v>243</v>
      </c>
      <c r="C405" s="24" t="s">
        <v>900</v>
      </c>
      <c r="D405" s="25" t="s">
        <v>901</v>
      </c>
      <c r="E405" s="25" t="s">
        <v>899</v>
      </c>
      <c r="F405" s="26">
        <v>0.18240000000000001</v>
      </c>
      <c r="G405" s="27">
        <v>2</v>
      </c>
      <c r="H405" s="28">
        <f>F405 * G405 * 2131.469928</f>
        <v>777.56022973439997</v>
      </c>
      <c r="I405" s="28">
        <f>F405 * G405 * 867.523099</f>
        <v>316.47242651520003</v>
      </c>
      <c r="J405" s="28">
        <f>F405 * G405 * 0</f>
        <v>0</v>
      </c>
      <c r="K405" s="28">
        <f>F405 * G405 * 2029.159371</f>
        <v>740.23733854080001</v>
      </c>
      <c r="L405" s="28">
        <f>F405 * G405 * 527.956002</f>
        <v>192.5983495296</v>
      </c>
      <c r="M405" s="28">
        <f>F405 * G405 * 426.293986</f>
        <v>155.51204609280001</v>
      </c>
      <c r="N405" s="29">
        <f>SUM(H405:M405)</f>
        <v>2182.3803904127999</v>
      </c>
      <c r="O405" s="92">
        <f t="shared" si="137"/>
        <v>2672.5757618053713</v>
      </c>
      <c r="P405" s="30">
        <f t="shared" si="138"/>
        <v>2.3919519580830662E-2</v>
      </c>
    </row>
    <row r="406" spans="2:16" x14ac:dyDescent="0.25">
      <c r="B406" s="32"/>
      <c r="C406" s="33" t="s">
        <v>902</v>
      </c>
      <c r="D406" s="107" t="s">
        <v>903</v>
      </c>
      <c r="E406" s="107"/>
      <c r="F406" s="107"/>
      <c r="G406" s="107"/>
      <c r="H406" s="107"/>
      <c r="I406" s="107"/>
      <c r="J406" s="107"/>
      <c r="K406" s="107"/>
      <c r="L406" s="107"/>
      <c r="M406" s="107"/>
      <c r="N406" s="107"/>
      <c r="O406" s="107"/>
      <c r="P406" s="107"/>
    </row>
    <row r="407" spans="2:16" ht="30" x14ac:dyDescent="0.25">
      <c r="B407" s="23">
        <v>244</v>
      </c>
      <c r="C407" s="24" t="s">
        <v>904</v>
      </c>
      <c r="D407" s="25" t="s">
        <v>905</v>
      </c>
      <c r="E407" s="25" t="s">
        <v>906</v>
      </c>
      <c r="F407" s="26">
        <v>4</v>
      </c>
      <c r="G407" s="27">
        <v>1</v>
      </c>
      <c r="H407" s="28">
        <f>F407 * G407 * 96.988463</f>
        <v>387.95385199999998</v>
      </c>
      <c r="I407" s="28">
        <f>F407 * G407 * 241.22913</f>
        <v>964.91651999999999</v>
      </c>
      <c r="J407" s="28">
        <f>F407 * G407 * 0</f>
        <v>0</v>
      </c>
      <c r="K407" s="28">
        <f>F407 * G407 * 92.333017</f>
        <v>369.33206799999999</v>
      </c>
      <c r="L407" s="28">
        <f>F407 * G407 * 45.207814</f>
        <v>180.831256</v>
      </c>
      <c r="M407" s="28">
        <f>F407 * G407 * 19.397693</f>
        <v>77.590772000000001</v>
      </c>
      <c r="N407" s="29">
        <f>SUM(H407:M407)</f>
        <v>1980.6244679999998</v>
      </c>
      <c r="O407" s="92">
        <f t="shared" ref="O407:O410" si="139">N407*1.07*1.09*1.05</f>
        <v>2425.5024328798199</v>
      </c>
      <c r="P407" s="30">
        <f t="shared" ref="P407:P410" si="140">IF($P$10&gt;0,O407/$P$10/12,0)</f>
        <v>2.1708216382771452E-2</v>
      </c>
    </row>
    <row r="408" spans="2:16" ht="30" x14ac:dyDescent="0.25">
      <c r="B408" s="23">
        <v>245</v>
      </c>
      <c r="C408" s="24" t="s">
        <v>907</v>
      </c>
      <c r="D408" s="25" t="s">
        <v>908</v>
      </c>
      <c r="E408" s="25" t="s">
        <v>906</v>
      </c>
      <c r="F408" s="26">
        <v>4</v>
      </c>
      <c r="G408" s="27">
        <v>1</v>
      </c>
      <c r="H408" s="28">
        <f>F408 * G408 * 111.628231</f>
        <v>446.512924</v>
      </c>
      <c r="I408" s="28">
        <f>F408 * G408 * 241.22913</f>
        <v>964.91651999999999</v>
      </c>
      <c r="J408" s="28">
        <f>F408 * G408 * 0</f>
        <v>0</v>
      </c>
      <c r="K408" s="28">
        <f>F408 * G408 * 106.270076</f>
        <v>425.08030400000001</v>
      </c>
      <c r="L408" s="28">
        <f>F408 * G408 * 48.208381</f>
        <v>192.83352400000001</v>
      </c>
      <c r="M408" s="28">
        <f>F408 * G408 * 22.325646</f>
        <v>89.302583999999996</v>
      </c>
      <c r="N408" s="29">
        <f>SUM(H408:M408)</f>
        <v>2118.6458560000001</v>
      </c>
      <c r="O408" s="92">
        <f t="shared" si="139"/>
        <v>2594.5254949454402</v>
      </c>
      <c r="P408" s="30">
        <f t="shared" si="140"/>
        <v>2.3220970670402751E-2</v>
      </c>
    </row>
    <row r="409" spans="2:16" ht="30" x14ac:dyDescent="0.25">
      <c r="B409" s="23">
        <v>246</v>
      </c>
      <c r="C409" s="24" t="s">
        <v>909</v>
      </c>
      <c r="D409" s="25" t="s">
        <v>910</v>
      </c>
      <c r="E409" s="25" t="s">
        <v>906</v>
      </c>
      <c r="F409" s="26">
        <v>3</v>
      </c>
      <c r="G409" s="27">
        <v>1</v>
      </c>
      <c r="H409" s="28">
        <f>F409 * G409 * 118.948115</f>
        <v>356.84434499999998</v>
      </c>
      <c r="I409" s="28">
        <f>F409 * G409 * 241.22913</f>
        <v>723.68739000000005</v>
      </c>
      <c r="J409" s="28">
        <f>F409 * G409 * 0</f>
        <v>0</v>
      </c>
      <c r="K409" s="28">
        <f>F409 * G409 * 113.238606</f>
        <v>339.71581800000001</v>
      </c>
      <c r="L409" s="28">
        <f>F409 * G409 * 49.708664</f>
        <v>149.125992</v>
      </c>
      <c r="M409" s="28">
        <f>F409 * G409 * 23.789623</f>
        <v>71.368868999999989</v>
      </c>
      <c r="N409" s="29">
        <f>SUM(H409:M409)</f>
        <v>1640.7424140000001</v>
      </c>
      <c r="O409" s="92">
        <f t="shared" si="139"/>
        <v>2009.2777713206103</v>
      </c>
      <c r="P409" s="30">
        <f t="shared" si="140"/>
        <v>1.7983010877104234E-2</v>
      </c>
    </row>
    <row r="410" spans="2:16" ht="30" x14ac:dyDescent="0.25">
      <c r="B410" s="23">
        <v>247</v>
      </c>
      <c r="C410" s="24" t="s">
        <v>911</v>
      </c>
      <c r="D410" s="25" t="s">
        <v>912</v>
      </c>
      <c r="E410" s="25" t="s">
        <v>906</v>
      </c>
      <c r="F410" s="26">
        <v>3</v>
      </c>
      <c r="G410" s="27">
        <v>1</v>
      </c>
      <c r="H410" s="28">
        <f>F410 * G410 * 140.907767</f>
        <v>422.72330099999999</v>
      </c>
      <c r="I410" s="28">
        <f>F410 * G410 * 241.22913</f>
        <v>723.68739000000005</v>
      </c>
      <c r="J410" s="28">
        <f>F410 * G410 * 0</f>
        <v>0</v>
      </c>
      <c r="K410" s="28">
        <f>F410 * G410 * 134.144195</f>
        <v>402.43258500000002</v>
      </c>
      <c r="L410" s="28">
        <f>F410 * G410 * 54.209514</f>
        <v>162.62854199999998</v>
      </c>
      <c r="M410" s="28">
        <f>F410 * G410 * 28.181553</f>
        <v>84.544658999999996</v>
      </c>
      <c r="N410" s="29">
        <f>SUM(H410:M410)</f>
        <v>1796.0164769999999</v>
      </c>
      <c r="O410" s="92">
        <f t="shared" si="139"/>
        <v>2199.4287179813555</v>
      </c>
      <c r="P410" s="30">
        <f t="shared" si="140"/>
        <v>1.9684859467129879E-2</v>
      </c>
    </row>
    <row r="411" spans="2:16" x14ac:dyDescent="0.25">
      <c r="B411" s="32"/>
      <c r="C411" s="33" t="s">
        <v>913</v>
      </c>
      <c r="D411" s="107" t="s">
        <v>914</v>
      </c>
      <c r="E411" s="107"/>
      <c r="F411" s="107"/>
      <c r="G411" s="107"/>
      <c r="H411" s="107"/>
      <c r="I411" s="107"/>
      <c r="J411" s="107"/>
      <c r="K411" s="107"/>
      <c r="L411" s="107"/>
      <c r="M411" s="107"/>
      <c r="N411" s="107"/>
      <c r="O411" s="107"/>
      <c r="P411" s="107"/>
    </row>
    <row r="412" spans="2:16" x14ac:dyDescent="0.25">
      <c r="B412" s="23">
        <v>248</v>
      </c>
      <c r="C412" s="24" t="s">
        <v>915</v>
      </c>
      <c r="D412" s="25" t="s">
        <v>916</v>
      </c>
      <c r="E412" s="25" t="s">
        <v>917</v>
      </c>
      <c r="F412" s="26">
        <v>4</v>
      </c>
      <c r="G412" s="27">
        <v>1</v>
      </c>
      <c r="H412" s="28">
        <f>F412 * G412 * 161.909252</f>
        <v>647.63700800000004</v>
      </c>
      <c r="I412" s="28">
        <f>F412 * G412 * 506.34036</f>
        <v>2025.3614399999999</v>
      </c>
      <c r="J412" s="28">
        <f>F412 * G412 * 0</f>
        <v>0</v>
      </c>
      <c r="K412" s="28">
        <f>F412 * G412 * 154.137608</f>
        <v>616.550432</v>
      </c>
      <c r="L412" s="28">
        <f>F412 * G412 * 86.350658</f>
        <v>345.40263199999998</v>
      </c>
      <c r="M412" s="28">
        <f>F412 * G412 * 32.38185</f>
        <v>129.5274</v>
      </c>
      <c r="N412" s="29">
        <f>SUM(H412:M412)</f>
        <v>3764.4789119999996</v>
      </c>
      <c r="O412" s="92">
        <f>N412*1.07*1.09*1.05</f>
        <v>4610.0373428188805</v>
      </c>
      <c r="P412" s="30">
        <f>IF($P$10&gt;0,O412/$P$10/12,0)</f>
        <v>4.1259776454541944E-2</v>
      </c>
    </row>
    <row r="413" spans="2:16" x14ac:dyDescent="0.25">
      <c r="B413" s="32"/>
      <c r="C413" s="33" t="s">
        <v>918</v>
      </c>
      <c r="D413" s="107" t="s">
        <v>919</v>
      </c>
      <c r="E413" s="107"/>
      <c r="F413" s="107"/>
      <c r="G413" s="107"/>
      <c r="H413" s="107"/>
      <c r="I413" s="107"/>
      <c r="J413" s="107"/>
      <c r="K413" s="107"/>
      <c r="L413" s="107"/>
      <c r="M413" s="107"/>
      <c r="N413" s="107"/>
      <c r="O413" s="107"/>
      <c r="P413" s="107"/>
    </row>
    <row r="414" spans="2:16" ht="30" x14ac:dyDescent="0.25">
      <c r="B414" s="23">
        <v>249</v>
      </c>
      <c r="C414" s="24" t="s">
        <v>920</v>
      </c>
      <c r="D414" s="25" t="s">
        <v>921</v>
      </c>
      <c r="E414" s="25" t="s">
        <v>922</v>
      </c>
      <c r="F414" s="26">
        <v>2</v>
      </c>
      <c r="G414" s="27">
        <v>0.5</v>
      </c>
      <c r="H414" s="28">
        <f>F414 * G414 * 323.818504</f>
        <v>323.81850400000002</v>
      </c>
      <c r="I414" s="28">
        <f>F414 * G414 * 167.480541</f>
        <v>167.48054099999999</v>
      </c>
      <c r="J414" s="28">
        <f>F414 * G414 * 0</f>
        <v>0</v>
      </c>
      <c r="K414" s="28">
        <f>F414 * G414 * 308.275216</f>
        <v>308.275216</v>
      </c>
      <c r="L414" s="28">
        <f>F414 * G414 * 83.955297</f>
        <v>83.955297000000002</v>
      </c>
      <c r="M414" s="28">
        <f>F414 * G414 * 64.763701</f>
        <v>64.763700999999998</v>
      </c>
      <c r="N414" s="29">
        <f>SUM(H414:M414)</f>
        <v>948.29325899999992</v>
      </c>
      <c r="O414" s="92">
        <f t="shared" ref="O414:O418" si="141">N414*1.07*1.09*1.05</f>
        <v>1161.2941493702849</v>
      </c>
      <c r="P414" s="30">
        <f t="shared" ref="P414:P418" si="142">IF($P$10&gt;0,O414/$P$10/12,0)</f>
        <v>1.0393568085868729E-2</v>
      </c>
    </row>
    <row r="415" spans="2:16" ht="30" x14ac:dyDescent="0.25">
      <c r="B415" s="23">
        <v>250</v>
      </c>
      <c r="C415" s="24" t="s">
        <v>923</v>
      </c>
      <c r="D415" s="25" t="s">
        <v>924</v>
      </c>
      <c r="E415" s="25" t="s">
        <v>922</v>
      </c>
      <c r="F415" s="26">
        <v>1</v>
      </c>
      <c r="G415" s="27">
        <v>0.5</v>
      </c>
      <c r="H415" s="28">
        <f>F415 * G415 * 385.389628</f>
        <v>192.69481400000001</v>
      </c>
      <c r="I415" s="28">
        <f>F415 * G415 * 281.362566</f>
        <v>140.68128300000001</v>
      </c>
      <c r="J415" s="28">
        <f>F415 * G415 * 0</f>
        <v>0</v>
      </c>
      <c r="K415" s="28">
        <f>F415 * G415 * 366.890926</f>
        <v>183.44546299999999</v>
      </c>
      <c r="L415" s="28">
        <f>F415 * G415 * 108.532528</f>
        <v>54.266264</v>
      </c>
      <c r="M415" s="28">
        <f>F415 * G415 * 77.077926</f>
        <v>38.538963000000003</v>
      </c>
      <c r="N415" s="29">
        <f>SUM(H415:M415)</f>
        <v>609.62678699999992</v>
      </c>
      <c r="O415" s="92">
        <f t="shared" si="141"/>
        <v>746.55810776200497</v>
      </c>
      <c r="P415" s="30">
        <f t="shared" si="142"/>
        <v>6.6816857101099497E-3</v>
      </c>
    </row>
    <row r="416" spans="2:16" ht="30" x14ac:dyDescent="0.25">
      <c r="B416" s="23">
        <v>251</v>
      </c>
      <c r="C416" s="24" t="s">
        <v>925</v>
      </c>
      <c r="D416" s="25" t="s">
        <v>926</v>
      </c>
      <c r="E416" s="25" t="s">
        <v>922</v>
      </c>
      <c r="F416" s="26">
        <v>1</v>
      </c>
      <c r="G416" s="27">
        <v>0.5</v>
      </c>
      <c r="H416" s="28">
        <f>F416 * G416 * 456.0824</f>
        <v>228.0412</v>
      </c>
      <c r="I416" s="28">
        <f>F416 * G416 * 311.5504</f>
        <v>155.77520000000001</v>
      </c>
      <c r="J416" s="28">
        <f>F416 * G416 * 0</f>
        <v>0</v>
      </c>
      <c r="K416" s="28">
        <f>F416 * G416 * 434.190444999999</f>
        <v>217.09522249999949</v>
      </c>
      <c r="L416" s="28">
        <f>F416 * G416 * 126.19144</f>
        <v>63.09572</v>
      </c>
      <c r="M416" s="28">
        <f>F416 * G416 * 91.21648</f>
        <v>45.608240000000002</v>
      </c>
      <c r="N416" s="29">
        <f>SUM(H416:M416)</f>
        <v>709.61558249999962</v>
      </c>
      <c r="O416" s="92">
        <f t="shared" si="141"/>
        <v>869.00588656323714</v>
      </c>
      <c r="P416" s="30">
        <f t="shared" si="142"/>
        <v>7.7775917961124576E-3</v>
      </c>
    </row>
    <row r="417" spans="2:16" ht="30" x14ac:dyDescent="0.25">
      <c r="B417" s="23">
        <v>252</v>
      </c>
      <c r="C417" s="24" t="s">
        <v>927</v>
      </c>
      <c r="D417" s="25" t="s">
        <v>928</v>
      </c>
      <c r="E417" s="25" t="s">
        <v>922</v>
      </c>
      <c r="F417" s="26">
        <v>1</v>
      </c>
      <c r="G417" s="27">
        <v>0.5</v>
      </c>
      <c r="H417" s="28">
        <f>F417 * G417 * 545.018468</f>
        <v>272.50923399999999</v>
      </c>
      <c r="I417" s="28">
        <f>F417 * G417 * 371.516247</f>
        <v>185.75812350000001</v>
      </c>
      <c r="J417" s="28">
        <f>F417 * G417 * 0</f>
        <v>0</v>
      </c>
      <c r="K417" s="28">
        <f>F417 * G417 * 518.857581</f>
        <v>259.42879049999999</v>
      </c>
      <c r="L417" s="28">
        <f>F417 * G417 * 150.716191</f>
        <v>75.358095500000005</v>
      </c>
      <c r="M417" s="28">
        <f>F417 * G417 * 109.003694</f>
        <v>54.501846999999998</v>
      </c>
      <c r="N417" s="29">
        <f>SUM(H417:M417)</f>
        <v>847.55609049999998</v>
      </c>
      <c r="O417" s="92">
        <f t="shared" si="141"/>
        <v>1037.9299017676576</v>
      </c>
      <c r="P417" s="30">
        <f t="shared" si="142"/>
        <v>9.2894596155770736E-3</v>
      </c>
    </row>
    <row r="418" spans="2:16" ht="30" x14ac:dyDescent="0.25">
      <c r="B418" s="23">
        <v>253</v>
      </c>
      <c r="C418" s="24" t="s">
        <v>929</v>
      </c>
      <c r="D418" s="25" t="s">
        <v>930</v>
      </c>
      <c r="E418" s="25" t="s">
        <v>426</v>
      </c>
      <c r="F418" s="26">
        <v>2</v>
      </c>
      <c r="G418" s="27">
        <v>4</v>
      </c>
      <c r="H418" s="28">
        <f>F418 * G418 * 169.592544</f>
        <v>1356.740352</v>
      </c>
      <c r="I418" s="28">
        <f>F418 * G418 * 0</f>
        <v>0</v>
      </c>
      <c r="J418" s="28">
        <f>F418 * G418 * 0</f>
        <v>0</v>
      </c>
      <c r="K418" s="28">
        <f>F418 * G418 * 161.452102</f>
        <v>1291.616816</v>
      </c>
      <c r="L418" s="28">
        <f>F418 * G418 * 34.759688</f>
        <v>278.07750399999998</v>
      </c>
      <c r="M418" s="28">
        <f>F418 * G418 * 33.918509</f>
        <v>271.348072</v>
      </c>
      <c r="N418" s="29">
        <f>SUM(H418:M418)</f>
        <v>3197.7827440000001</v>
      </c>
      <c r="O418" s="92">
        <f t="shared" si="141"/>
        <v>3916.0527150435614</v>
      </c>
      <c r="P418" s="30">
        <f t="shared" si="142"/>
        <v>3.5048622731568051E-2</v>
      </c>
    </row>
    <row r="419" spans="2:16" x14ac:dyDescent="0.25">
      <c r="B419" s="32"/>
      <c r="C419" s="33" t="s">
        <v>931</v>
      </c>
      <c r="D419" s="106" t="s">
        <v>932</v>
      </c>
      <c r="E419" s="106"/>
      <c r="F419" s="106"/>
      <c r="G419" s="106"/>
      <c r="H419" s="106"/>
      <c r="I419" s="106"/>
      <c r="J419" s="106"/>
      <c r="K419" s="106"/>
      <c r="L419" s="106"/>
      <c r="M419" s="106"/>
      <c r="N419" s="106"/>
      <c r="O419" s="106"/>
      <c r="P419" s="106"/>
    </row>
    <row r="420" spans="2:16" x14ac:dyDescent="0.25">
      <c r="B420" s="32"/>
      <c r="C420" s="33" t="s">
        <v>933</v>
      </c>
      <c r="D420" s="107" t="s">
        <v>934</v>
      </c>
      <c r="E420" s="107"/>
      <c r="F420" s="107"/>
      <c r="G420" s="107"/>
      <c r="H420" s="107"/>
      <c r="I420" s="107"/>
      <c r="J420" s="107"/>
      <c r="K420" s="107"/>
      <c r="L420" s="107"/>
      <c r="M420" s="107"/>
      <c r="N420" s="107"/>
      <c r="O420" s="107"/>
      <c r="P420" s="107"/>
    </row>
    <row r="421" spans="2:16" x14ac:dyDescent="0.25">
      <c r="B421" s="23">
        <v>254</v>
      </c>
      <c r="C421" s="24" t="s">
        <v>935</v>
      </c>
      <c r="D421" s="25" t="s">
        <v>778</v>
      </c>
      <c r="E421" s="25" t="s">
        <v>676</v>
      </c>
      <c r="F421" s="26">
        <v>1</v>
      </c>
      <c r="G421" s="27">
        <v>1</v>
      </c>
      <c r="H421" s="28">
        <f>F421 * G421 * 636.234948</f>
        <v>636.23494800000003</v>
      </c>
      <c r="I421" s="28">
        <f>F421 * G421 * 38407.76496</f>
        <v>38407.76496</v>
      </c>
      <c r="J421" s="28">
        <f>F421 * G421 * 0</f>
        <v>0</v>
      </c>
      <c r="K421" s="28">
        <f>F421 * G421 * 605.69567</f>
        <v>605.69566999999995</v>
      </c>
      <c r="L421" s="28">
        <f>F421 * G421 * 4163.218036</f>
        <v>4163.2180360000002</v>
      </c>
      <c r="M421" s="28">
        <f>F421 * G421 * 127.24699</f>
        <v>127.24699</v>
      </c>
      <c r="N421" s="29">
        <f>SUM(H421:M421)</f>
        <v>43940.160603999997</v>
      </c>
      <c r="O421" s="92">
        <f t="shared" ref="O421:O425" si="143">N421*1.07*1.09*1.05</f>
        <v>53809.779778067466</v>
      </c>
      <c r="P421" s="30">
        <f t="shared" ref="P421:P425" si="144">IF($P$10&gt;0,O421/$P$10/12,0)</f>
        <v>0.48159685477810715</v>
      </c>
    </row>
    <row r="422" spans="2:16" ht="30" x14ac:dyDescent="0.25">
      <c r="B422" s="23">
        <v>255</v>
      </c>
      <c r="C422" s="24" t="s">
        <v>936</v>
      </c>
      <c r="D422" s="25" t="s">
        <v>937</v>
      </c>
      <c r="E422" s="25" t="s">
        <v>938</v>
      </c>
      <c r="F422" s="26">
        <v>4</v>
      </c>
      <c r="G422" s="27">
        <v>4</v>
      </c>
      <c r="H422" s="28">
        <f>F422 * G422 * 9.121648</f>
        <v>145.94636800000001</v>
      </c>
      <c r="I422" s="28">
        <f>F422 * G422 * 0</f>
        <v>0</v>
      </c>
      <c r="J422" s="28">
        <f>F422 * G422 * 0</f>
        <v>0</v>
      </c>
      <c r="K422" s="28">
        <f>F422 * G422 * 8.683809</f>
        <v>138.940944</v>
      </c>
      <c r="L422" s="28">
        <f>F422 * G422 * 1.869573</f>
        <v>29.913167999999999</v>
      </c>
      <c r="M422" s="28">
        <f>F422 * G422 * 1.82433</f>
        <v>29.18928</v>
      </c>
      <c r="N422" s="29">
        <f>SUM(H422:M422)</f>
        <v>343.98975999999999</v>
      </c>
      <c r="O422" s="92">
        <f t="shared" si="143"/>
        <v>421.25501994240011</v>
      </c>
      <c r="P422" s="30">
        <f t="shared" si="144"/>
        <v>3.7702271501664705E-3</v>
      </c>
    </row>
    <row r="423" spans="2:16" ht="30" x14ac:dyDescent="0.25">
      <c r="B423" s="23">
        <v>256</v>
      </c>
      <c r="C423" s="24" t="s">
        <v>939</v>
      </c>
      <c r="D423" s="25" t="s">
        <v>940</v>
      </c>
      <c r="E423" s="25" t="s">
        <v>906</v>
      </c>
      <c r="F423" s="26">
        <v>8</v>
      </c>
      <c r="G423" s="27">
        <v>1</v>
      </c>
      <c r="H423" s="28">
        <f>F423 * G423 * 12.809797</f>
        <v>102.478376</v>
      </c>
      <c r="I423" s="28">
        <f>F423 * G423 * 0</f>
        <v>0</v>
      </c>
      <c r="J423" s="28">
        <f>F423 * G423 * 0</f>
        <v>0</v>
      </c>
      <c r="K423" s="28">
        <f>F423 * G423 * 12.194927</f>
        <v>97.559415999999999</v>
      </c>
      <c r="L423" s="28">
        <f>F423 * G423 * 2.62549599999999</f>
        <v>21.003967999999919</v>
      </c>
      <c r="M423" s="28">
        <f>F423 * G423 * 2.561959</f>
        <v>20.495671999999999</v>
      </c>
      <c r="N423" s="29">
        <f>SUM(H423:M423)</f>
        <v>241.53743199999991</v>
      </c>
      <c r="O423" s="92">
        <f t="shared" si="143"/>
        <v>295.79036228868</v>
      </c>
      <c r="P423" s="30">
        <f t="shared" si="144"/>
        <v>2.6473200362356355E-3</v>
      </c>
    </row>
    <row r="424" spans="2:16" x14ac:dyDescent="0.25">
      <c r="B424" s="23">
        <v>257</v>
      </c>
      <c r="C424" s="24" t="s">
        <v>941</v>
      </c>
      <c r="D424" s="25" t="s">
        <v>942</v>
      </c>
      <c r="E424" s="25" t="s">
        <v>917</v>
      </c>
      <c r="F424" s="26">
        <v>13</v>
      </c>
      <c r="G424" s="27">
        <v>1</v>
      </c>
      <c r="H424" s="28">
        <f>F424 * G424 * 51.239188</f>
        <v>666.10944399999994</v>
      </c>
      <c r="I424" s="28">
        <f>F424 * G424 * 0</f>
        <v>0</v>
      </c>
      <c r="J424" s="28">
        <f>F424 * G424 * 0</f>
        <v>0</v>
      </c>
      <c r="K424" s="28">
        <f>F424 * G424 * 48.779707</f>
        <v>634.13619100000005</v>
      </c>
      <c r="L424" s="28">
        <f>F424 * G424 * 10.501983</f>
        <v>136.525779</v>
      </c>
      <c r="M424" s="28">
        <f>F424 * G424 * 10.247838</f>
        <v>133.22189399999999</v>
      </c>
      <c r="N424" s="29">
        <f>SUM(H424:M424)</f>
        <v>1569.9933080000001</v>
      </c>
      <c r="O424" s="92">
        <f t="shared" si="143"/>
        <v>1922.6373548764202</v>
      </c>
      <c r="P424" s="30">
        <f t="shared" si="144"/>
        <v>1.7207580235531632E-2</v>
      </c>
    </row>
    <row r="425" spans="2:16" ht="45" x14ac:dyDescent="0.25">
      <c r="B425" s="23">
        <v>258</v>
      </c>
      <c r="C425" s="24" t="s">
        <v>943</v>
      </c>
      <c r="D425" s="25" t="s">
        <v>944</v>
      </c>
      <c r="E425" s="25" t="s">
        <v>945</v>
      </c>
      <c r="F425" s="26">
        <v>163</v>
      </c>
      <c r="G425" s="27">
        <v>1</v>
      </c>
      <c r="H425" s="28">
        <f>F425 * G425 * 3.659942</f>
        <v>596.57054600000004</v>
      </c>
      <c r="I425" s="28">
        <f>F425 * G425 * 0</f>
        <v>0</v>
      </c>
      <c r="J425" s="28">
        <f>F425 * G425 * 0</f>
        <v>0</v>
      </c>
      <c r="K425" s="28">
        <f>F425 * G425 * 3.484264</f>
        <v>567.93503199999998</v>
      </c>
      <c r="L425" s="28">
        <f>F425 * G425 * 0.750142</f>
        <v>122.273146</v>
      </c>
      <c r="M425" s="28">
        <f>F425 * G425 * 0.731988</f>
        <v>119.314044</v>
      </c>
      <c r="N425" s="29">
        <f>SUM(H425:M425)</f>
        <v>1406.092768</v>
      </c>
      <c r="O425" s="92">
        <f t="shared" si="143"/>
        <v>1721.9222950843205</v>
      </c>
      <c r="P425" s="30">
        <f t="shared" si="144"/>
        <v>1.5411182965348517E-2</v>
      </c>
    </row>
    <row r="426" spans="2:16" x14ac:dyDescent="0.25">
      <c r="B426" s="32"/>
      <c r="C426" s="33" t="s">
        <v>946</v>
      </c>
      <c r="D426" s="107" t="s">
        <v>947</v>
      </c>
      <c r="E426" s="107"/>
      <c r="F426" s="107"/>
      <c r="G426" s="107"/>
      <c r="H426" s="107"/>
      <c r="I426" s="107"/>
      <c r="J426" s="107"/>
      <c r="K426" s="107"/>
      <c r="L426" s="107"/>
      <c r="M426" s="107"/>
      <c r="N426" s="107"/>
      <c r="O426" s="107"/>
      <c r="P426" s="107"/>
    </row>
    <row r="427" spans="2:16" ht="45" x14ac:dyDescent="0.25">
      <c r="B427" s="23">
        <v>259</v>
      </c>
      <c r="C427" s="24" t="s">
        <v>948</v>
      </c>
      <c r="D427" s="25" t="s">
        <v>949</v>
      </c>
      <c r="E427" s="25" t="s">
        <v>950</v>
      </c>
      <c r="F427" s="26">
        <v>4</v>
      </c>
      <c r="G427" s="27">
        <v>1</v>
      </c>
      <c r="H427" s="28">
        <f>F427 * G427 * 188.76312</f>
        <v>755.05247999999995</v>
      </c>
      <c r="I427" s="28">
        <f t="shared" ref="I427:I436" si="145">F427 * G427 * 0</f>
        <v>0</v>
      </c>
      <c r="J427" s="28">
        <f t="shared" ref="J427:J436" si="146">F427 * G427 * 0</f>
        <v>0</v>
      </c>
      <c r="K427" s="28">
        <f>F427 * G427 * 179.70249</f>
        <v>718.80996000000005</v>
      </c>
      <c r="L427" s="28">
        <f>F427 * G427 * 38.688889</f>
        <v>154.75555600000001</v>
      </c>
      <c r="M427" s="28">
        <f>F427 * G427 * 37.752624</f>
        <v>151.01049599999999</v>
      </c>
      <c r="N427" s="29">
        <f t="shared" ref="N427:N436" si="147">SUM(H427:M427)</f>
        <v>1779.6284919999998</v>
      </c>
      <c r="O427" s="92">
        <f t="shared" ref="O427:O436" si="148">N427*1.07*1.09*1.05</f>
        <v>2179.3597457305805</v>
      </c>
      <c r="P427" s="30">
        <f t="shared" ref="P427:P436" si="149">IF($P$10&gt;0,O427/$P$10/12,0)</f>
        <v>1.9505242416949311E-2</v>
      </c>
    </row>
    <row r="428" spans="2:16" ht="45" x14ac:dyDescent="0.25">
      <c r="B428" s="23">
        <v>260</v>
      </c>
      <c r="C428" s="24" t="s">
        <v>951</v>
      </c>
      <c r="D428" s="25" t="s">
        <v>952</v>
      </c>
      <c r="E428" s="25" t="s">
        <v>953</v>
      </c>
      <c r="F428" s="26">
        <v>2.8</v>
      </c>
      <c r="G428" s="27">
        <v>1</v>
      </c>
      <c r="H428" s="28">
        <f>F428 * G428 * 44.56907</f>
        <v>124.793396</v>
      </c>
      <c r="I428" s="28">
        <f t="shared" si="145"/>
        <v>0</v>
      </c>
      <c r="J428" s="28">
        <f t="shared" si="146"/>
        <v>0</v>
      </c>
      <c r="K428" s="28">
        <f>F428 * G428 * 42.429755</f>
        <v>118.80331399999999</v>
      </c>
      <c r="L428" s="28">
        <f>F428 * G428 * 9.134876</f>
        <v>25.577652799999999</v>
      </c>
      <c r="M428" s="28">
        <f>F428 * G428 * 8.913814</f>
        <v>24.958679199999999</v>
      </c>
      <c r="N428" s="29">
        <f t="shared" si="147"/>
        <v>294.13304199999999</v>
      </c>
      <c r="O428" s="92">
        <f t="shared" si="148"/>
        <v>360.19973522883004</v>
      </c>
      <c r="P428" s="30">
        <f t="shared" si="149"/>
        <v>3.2237831170016649E-3</v>
      </c>
    </row>
    <row r="429" spans="2:16" ht="45" x14ac:dyDescent="0.25">
      <c r="B429" s="23">
        <v>261</v>
      </c>
      <c r="C429" s="24" t="s">
        <v>954</v>
      </c>
      <c r="D429" s="25" t="s">
        <v>955</v>
      </c>
      <c r="E429" s="25" t="s">
        <v>953</v>
      </c>
      <c r="F429" s="26">
        <v>1.1000000000000001</v>
      </c>
      <c r="G429" s="27">
        <v>1</v>
      </c>
      <c r="H429" s="28">
        <f>F429 * G429 * 57.67762</f>
        <v>63.445382000000002</v>
      </c>
      <c r="I429" s="28">
        <f t="shared" si="145"/>
        <v>0</v>
      </c>
      <c r="J429" s="28">
        <f t="shared" si="146"/>
        <v>0</v>
      </c>
      <c r="K429" s="28">
        <f>F429 * G429 * 54.909094</f>
        <v>60.40000340000001</v>
      </c>
      <c r="L429" s="28">
        <f>F429 * G429 * 11.821605</f>
        <v>13.0037655</v>
      </c>
      <c r="M429" s="28">
        <f>F429 * G429 * 11.535524</f>
        <v>12.689076400000001</v>
      </c>
      <c r="N429" s="29">
        <f t="shared" si="147"/>
        <v>149.53822730000002</v>
      </c>
      <c r="O429" s="92">
        <f t="shared" si="148"/>
        <v>183.12675622498955</v>
      </c>
      <c r="P429" s="30">
        <f t="shared" si="149"/>
        <v>1.6389821736386135E-3</v>
      </c>
    </row>
    <row r="430" spans="2:16" ht="45" x14ac:dyDescent="0.25">
      <c r="B430" s="23">
        <v>262</v>
      </c>
      <c r="C430" s="24" t="s">
        <v>956</v>
      </c>
      <c r="D430" s="25" t="s">
        <v>957</v>
      </c>
      <c r="E430" s="25" t="s">
        <v>953</v>
      </c>
      <c r="F430" s="26">
        <v>1.5</v>
      </c>
      <c r="G430" s="27">
        <v>1</v>
      </c>
      <c r="H430" s="28">
        <f>F430 * G430 * 91.75985</f>
        <v>137.63977499999999</v>
      </c>
      <c r="I430" s="28">
        <f t="shared" si="145"/>
        <v>0</v>
      </c>
      <c r="J430" s="28">
        <f t="shared" si="146"/>
        <v>0</v>
      </c>
      <c r="K430" s="28">
        <f>F430 * G430 * 87.355377</f>
        <v>131.03306550000002</v>
      </c>
      <c r="L430" s="28">
        <f>F430 * G430 * 18.8070989999999</f>
        <v>28.210648499999852</v>
      </c>
      <c r="M430" s="28">
        <f>F430 * G430 * 18.35197</f>
        <v>27.527955000000002</v>
      </c>
      <c r="N430" s="29">
        <f t="shared" si="147"/>
        <v>324.4114439999999</v>
      </c>
      <c r="O430" s="92">
        <f t="shared" si="148"/>
        <v>397.27912049405995</v>
      </c>
      <c r="P430" s="30">
        <f t="shared" si="149"/>
        <v>3.5556431505214259E-3</v>
      </c>
    </row>
    <row r="431" spans="2:16" x14ac:dyDescent="0.25">
      <c r="B431" s="23">
        <v>263</v>
      </c>
      <c r="C431" s="24" t="s">
        <v>958</v>
      </c>
      <c r="D431" s="25" t="s">
        <v>959</v>
      </c>
      <c r="E431" s="25" t="s">
        <v>960</v>
      </c>
      <c r="F431" s="26">
        <v>197.07149999999999</v>
      </c>
      <c r="G431" s="27">
        <v>1</v>
      </c>
      <c r="H431" s="28">
        <f>F431 * G431 * 10.48684</f>
        <v>2066.65728906</v>
      </c>
      <c r="I431" s="28">
        <f t="shared" si="145"/>
        <v>0</v>
      </c>
      <c r="J431" s="28">
        <f t="shared" si="146"/>
        <v>0</v>
      </c>
      <c r="K431" s="28">
        <f>F431 * G431 * 9.98347199999999</f>
        <v>1967.457802247998</v>
      </c>
      <c r="L431" s="28">
        <f>F431 * G431 * 2.149383</f>
        <v>423.58213188449992</v>
      </c>
      <c r="M431" s="28">
        <f>F431 * G431 * 2.097368</f>
        <v>413.33145781199994</v>
      </c>
      <c r="N431" s="29">
        <f t="shared" si="147"/>
        <v>4871.0286810044981</v>
      </c>
      <c r="O431" s="92">
        <f t="shared" si="148"/>
        <v>5965.1347881883239</v>
      </c>
      <c r="P431" s="30">
        <f t="shared" si="149"/>
        <v>5.3387881611251242E-2</v>
      </c>
    </row>
    <row r="432" spans="2:16" ht="30" x14ac:dyDescent="0.25">
      <c r="B432" s="23">
        <v>264</v>
      </c>
      <c r="C432" s="24" t="s">
        <v>961</v>
      </c>
      <c r="D432" s="25" t="s">
        <v>962</v>
      </c>
      <c r="E432" s="25" t="s">
        <v>963</v>
      </c>
      <c r="F432" s="26">
        <v>163</v>
      </c>
      <c r="G432" s="27">
        <v>1</v>
      </c>
      <c r="H432" s="28">
        <f>F432 * G432 * 55.05591</f>
        <v>8974.1133300000001</v>
      </c>
      <c r="I432" s="28">
        <f t="shared" si="145"/>
        <v>0</v>
      </c>
      <c r="J432" s="28">
        <f t="shared" si="146"/>
        <v>0</v>
      </c>
      <c r="K432" s="28">
        <f>F432 * G432 * 52.413227</f>
        <v>8543.3560010000001</v>
      </c>
      <c r="L432" s="28">
        <f>F432 * G432 * 11.28426</f>
        <v>1839.33438</v>
      </c>
      <c r="M432" s="28">
        <f>F432 * G432 * 11.011182</f>
        <v>1794.822666</v>
      </c>
      <c r="N432" s="29">
        <f t="shared" si="147"/>
        <v>21151.626377000001</v>
      </c>
      <c r="O432" s="92">
        <f t="shared" si="148"/>
        <v>25902.598935669863</v>
      </c>
      <c r="P432" s="30">
        <f t="shared" si="149"/>
        <v>0.23182793591513498</v>
      </c>
    </row>
    <row r="433" spans="2:16" ht="30" x14ac:dyDescent="0.25">
      <c r="B433" s="23">
        <v>265</v>
      </c>
      <c r="C433" s="24" t="s">
        <v>964</v>
      </c>
      <c r="D433" s="25" t="s">
        <v>965</v>
      </c>
      <c r="E433" s="25" t="s">
        <v>963</v>
      </c>
      <c r="F433" s="26">
        <v>163</v>
      </c>
      <c r="G433" s="27">
        <v>1</v>
      </c>
      <c r="H433" s="28">
        <f>F433 * G433 * 55.05591</f>
        <v>8974.1133300000001</v>
      </c>
      <c r="I433" s="28">
        <f t="shared" si="145"/>
        <v>0</v>
      </c>
      <c r="J433" s="28">
        <f t="shared" si="146"/>
        <v>0</v>
      </c>
      <c r="K433" s="28">
        <f>F433 * G433 * 52.413227</f>
        <v>8543.3560010000001</v>
      </c>
      <c r="L433" s="28">
        <f>F433 * G433 * 11.28426</f>
        <v>1839.33438</v>
      </c>
      <c r="M433" s="28">
        <f>F433 * G433 * 11.011182</f>
        <v>1794.822666</v>
      </c>
      <c r="N433" s="29">
        <f t="shared" si="147"/>
        <v>21151.626377000001</v>
      </c>
      <c r="O433" s="92">
        <f t="shared" si="148"/>
        <v>25902.598935669863</v>
      </c>
      <c r="P433" s="30">
        <f t="shared" si="149"/>
        <v>0.23182793591513498</v>
      </c>
    </row>
    <row r="434" spans="2:16" ht="30" x14ac:dyDescent="0.25">
      <c r="B434" s="23">
        <v>266</v>
      </c>
      <c r="C434" s="24" t="s">
        <v>966</v>
      </c>
      <c r="D434" s="25" t="s">
        <v>967</v>
      </c>
      <c r="E434" s="25" t="s">
        <v>968</v>
      </c>
      <c r="F434" s="26">
        <v>0.68400000000000005</v>
      </c>
      <c r="G434" s="27">
        <v>1</v>
      </c>
      <c r="H434" s="28">
        <f>F434 * G434 * 163.976805</f>
        <v>112.16013462000002</v>
      </c>
      <c r="I434" s="28">
        <f t="shared" si="145"/>
        <v>0</v>
      </c>
      <c r="J434" s="28">
        <f t="shared" si="146"/>
        <v>0</v>
      </c>
      <c r="K434" s="28">
        <f>F434 * G434 * 156.105918</f>
        <v>106.77644791200001</v>
      </c>
      <c r="L434" s="28">
        <f>F434 * G434 * 33.608686</f>
        <v>22.988341223999999</v>
      </c>
      <c r="M434" s="28">
        <f>F434 * G434 * 32.795361</f>
        <v>22.432026924000002</v>
      </c>
      <c r="N434" s="29">
        <f t="shared" si="147"/>
        <v>264.35695068000007</v>
      </c>
      <c r="O434" s="92">
        <f t="shared" si="148"/>
        <v>323.73548715698837</v>
      </c>
      <c r="P434" s="30">
        <f t="shared" si="149"/>
        <v>2.8974285536550706E-3</v>
      </c>
    </row>
    <row r="435" spans="2:16" ht="30" x14ac:dyDescent="0.25">
      <c r="B435" s="23">
        <v>267</v>
      </c>
      <c r="C435" s="24" t="s">
        <v>969</v>
      </c>
      <c r="D435" s="25" t="s">
        <v>970</v>
      </c>
      <c r="E435" s="25" t="s">
        <v>971</v>
      </c>
      <c r="F435" s="26">
        <v>25.811599999999999</v>
      </c>
      <c r="G435" s="27">
        <v>1</v>
      </c>
      <c r="H435" s="28">
        <f>F435 * G435 * 34.20618</f>
        <v>882.91623568800003</v>
      </c>
      <c r="I435" s="28">
        <f t="shared" si="145"/>
        <v>0</v>
      </c>
      <c r="J435" s="28">
        <f t="shared" si="146"/>
        <v>0</v>
      </c>
      <c r="K435" s="28">
        <f>F435 * G435 * 32.564283</f>
        <v>840.53624708280006</v>
      </c>
      <c r="L435" s="28">
        <f>F435 * G435 * 7.010898</f>
        <v>180.96249481679999</v>
      </c>
      <c r="M435" s="28">
        <f>F435 * G435 * 6.841236</f>
        <v>176.58324713760001</v>
      </c>
      <c r="N435" s="29">
        <f t="shared" si="147"/>
        <v>2080.9982247252001</v>
      </c>
      <c r="O435" s="92">
        <f t="shared" si="148"/>
        <v>2548.421640971851</v>
      </c>
      <c r="P435" s="30">
        <f t="shared" si="149"/>
        <v>2.2808341755019612E-2</v>
      </c>
    </row>
    <row r="436" spans="2:16" x14ac:dyDescent="0.25">
      <c r="B436" s="23">
        <v>268</v>
      </c>
      <c r="C436" s="24" t="s">
        <v>972</v>
      </c>
      <c r="D436" s="25" t="s">
        <v>973</v>
      </c>
      <c r="E436" s="25" t="s">
        <v>974</v>
      </c>
      <c r="F436" s="26">
        <v>2</v>
      </c>
      <c r="G436" s="27">
        <v>1</v>
      </c>
      <c r="H436" s="28">
        <f>F436 * G436 * 17.537411</f>
        <v>35.074821999999998</v>
      </c>
      <c r="I436" s="28">
        <f t="shared" si="145"/>
        <v>0</v>
      </c>
      <c r="J436" s="28">
        <f t="shared" si="146"/>
        <v>0</v>
      </c>
      <c r="K436" s="28">
        <f>F436 * G436 * 16.695615</f>
        <v>33.39123</v>
      </c>
      <c r="L436" s="28">
        <f>F436 * G436 * 3.594468</f>
        <v>7.188936</v>
      </c>
      <c r="M436" s="28">
        <f>F436 * G436 * 3.507482</f>
        <v>7.014964</v>
      </c>
      <c r="N436" s="29">
        <f t="shared" si="147"/>
        <v>82.669951999999995</v>
      </c>
      <c r="O436" s="92">
        <f t="shared" si="148"/>
        <v>101.23886326848002</v>
      </c>
      <c r="P436" s="30">
        <f t="shared" si="149"/>
        <v>9.0608655773171537E-4</v>
      </c>
    </row>
    <row r="437" spans="2:16" ht="13.9" customHeight="1" x14ac:dyDescent="0.25">
      <c r="B437" s="109" t="s">
        <v>387</v>
      </c>
      <c r="C437" s="109"/>
      <c r="D437" s="109"/>
      <c r="E437" s="109"/>
      <c r="F437" s="109"/>
      <c r="G437" s="109"/>
      <c r="H437" s="36">
        <f t="shared" ref="H437:P437" si="150">SUM(H401:H436)</f>
        <v>30730.977729878399</v>
      </c>
      <c r="I437" s="36">
        <f t="shared" si="150"/>
        <v>45259.704303664403</v>
      </c>
      <c r="J437" s="36">
        <f t="shared" si="150"/>
        <v>0</v>
      </c>
      <c r="K437" s="36">
        <f t="shared" si="150"/>
        <v>29255.890955293602</v>
      </c>
      <c r="L437" s="36">
        <f t="shared" si="150"/>
        <v>11050.890440132098</v>
      </c>
      <c r="M437" s="36">
        <f t="shared" si="150"/>
        <v>6146.1954895215995</v>
      </c>
      <c r="N437" s="36">
        <f t="shared" si="150"/>
        <v>122443.65891849009</v>
      </c>
      <c r="O437" s="36">
        <f t="shared" si="150"/>
        <v>149946.34136646678</v>
      </c>
      <c r="P437" s="37">
        <f t="shared" si="150"/>
        <v>1.3420178764048507</v>
      </c>
    </row>
    <row r="438" spans="2:16" x14ac:dyDescent="0.25">
      <c r="B438" s="102" t="s">
        <v>975</v>
      </c>
      <c r="C438" s="102"/>
      <c r="D438" s="102"/>
      <c r="E438" s="102"/>
      <c r="F438" s="102"/>
      <c r="G438" s="102"/>
      <c r="H438" s="102"/>
      <c r="I438" s="102"/>
      <c r="J438" s="102"/>
      <c r="K438" s="102"/>
      <c r="L438" s="102"/>
      <c r="M438" s="110"/>
      <c r="N438" s="110"/>
      <c r="O438" s="49"/>
      <c r="P438" s="38"/>
    </row>
    <row r="439" spans="2:16" x14ac:dyDescent="0.25">
      <c r="B439" s="102"/>
      <c r="C439" s="102"/>
      <c r="D439" s="102"/>
      <c r="E439" s="102"/>
      <c r="F439" s="102"/>
      <c r="G439" s="102"/>
      <c r="H439" s="102"/>
      <c r="I439" s="102"/>
      <c r="J439" s="102"/>
      <c r="K439" s="102"/>
      <c r="L439" s="102"/>
      <c r="M439" s="111"/>
      <c r="N439" s="111"/>
      <c r="O439" s="93"/>
      <c r="P439" s="39"/>
    </row>
    <row r="440" spans="2:16" ht="13.9" customHeight="1" x14ac:dyDescent="0.25">
      <c r="B440" s="21"/>
      <c r="C440" s="22" t="s">
        <v>327</v>
      </c>
      <c r="D440" s="105" t="s">
        <v>328</v>
      </c>
      <c r="E440" s="105"/>
      <c r="F440" s="105"/>
      <c r="G440" s="105"/>
      <c r="H440" s="105"/>
      <c r="I440" s="105"/>
      <c r="J440" s="105"/>
      <c r="K440" s="105"/>
      <c r="L440" s="105"/>
      <c r="M440" s="105"/>
      <c r="N440" s="105"/>
      <c r="O440" s="105"/>
      <c r="P440" s="105"/>
    </row>
    <row r="441" spans="2:16" ht="30" x14ac:dyDescent="0.25">
      <c r="B441" s="23">
        <v>269</v>
      </c>
      <c r="C441" s="24" t="s">
        <v>976</v>
      </c>
      <c r="D441" s="25" t="s">
        <v>977</v>
      </c>
      <c r="E441" s="25" t="s">
        <v>348</v>
      </c>
      <c r="F441" s="26">
        <v>9.3109999999999999</v>
      </c>
      <c r="G441" s="27">
        <v>1</v>
      </c>
      <c r="H441" s="28">
        <f>F441 * G441 * 4697.64872</f>
        <v>43739.80723192</v>
      </c>
      <c r="I441" s="28">
        <f>F441 * G441 * 3321.266353</f>
        <v>30924.311012783</v>
      </c>
      <c r="J441" s="28">
        <f>F441 * G441 * 0</f>
        <v>0</v>
      </c>
      <c r="K441" s="28">
        <f>F441 * G441 * 4472.161581</f>
        <v>41640.296480691002</v>
      </c>
      <c r="L441" s="28">
        <f>F441 * G441 * 1311.563048</f>
        <v>12211.963539928</v>
      </c>
      <c r="M441" s="28">
        <f>F441 * G441 * 939.529744</f>
        <v>8747.9614463840007</v>
      </c>
      <c r="N441" s="29">
        <f>SUM(H441:M441)</f>
        <v>137264.33971170601</v>
      </c>
      <c r="O441" s="92">
        <f t="shared" ref="O441" si="151">N441*1.07*1.09*1.05</f>
        <v>168095.9693760509</v>
      </c>
      <c r="P441" s="30">
        <f>IF($P$10&gt;0,O441/$P$10/12,0)</f>
        <v>1.5044568196761079</v>
      </c>
    </row>
    <row r="442" spans="2:16" x14ac:dyDescent="0.25">
      <c r="B442" s="32"/>
      <c r="C442" s="33" t="s">
        <v>978</v>
      </c>
      <c r="D442" s="106" t="s">
        <v>979</v>
      </c>
      <c r="E442" s="106"/>
      <c r="F442" s="106"/>
      <c r="G442" s="106"/>
      <c r="H442" s="106"/>
      <c r="I442" s="106"/>
      <c r="J442" s="106"/>
      <c r="K442" s="106"/>
      <c r="L442" s="106"/>
      <c r="M442" s="106"/>
      <c r="N442" s="106"/>
      <c r="O442" s="106"/>
      <c r="P442" s="106"/>
    </row>
    <row r="443" spans="2:16" ht="30" x14ac:dyDescent="0.25">
      <c r="B443" s="23">
        <v>270</v>
      </c>
      <c r="C443" s="24" t="s">
        <v>980</v>
      </c>
      <c r="D443" s="25" t="s">
        <v>981</v>
      </c>
      <c r="E443" s="25" t="s">
        <v>348</v>
      </c>
      <c r="F443" s="26">
        <v>9.3109999999999999</v>
      </c>
      <c r="G443" s="27">
        <v>2</v>
      </c>
      <c r="H443" s="28">
        <f>F443 * G443 * 850.2501</f>
        <v>15833.357362199999</v>
      </c>
      <c r="I443" s="28">
        <f>F443 * G443 * 0</f>
        <v>0</v>
      </c>
      <c r="J443" s="28">
        <f>F443 * G443 * 0</f>
        <v>0</v>
      </c>
      <c r="K443" s="28">
        <f>F443 * G443 * 809.438095</f>
        <v>15073.35620509</v>
      </c>
      <c r="L443" s="28">
        <f>F443 * G443 * 174.267261</f>
        <v>3245.2049343419999</v>
      </c>
      <c r="M443" s="28">
        <f>F443 * G443 * 170.05002</f>
        <v>3166.6714724399999</v>
      </c>
      <c r="N443" s="29">
        <f>SUM(H443:M443)</f>
        <v>37318.589974071998</v>
      </c>
      <c r="O443" s="92">
        <f t="shared" ref="O443:O444" si="152">N443*1.07*1.09*1.05</f>
        <v>45700.905061098187</v>
      </c>
      <c r="P443" s="30">
        <f>IF($P$10&gt;0,N443/$P$10/12,0)</f>
        <v>0.33400091266666659</v>
      </c>
    </row>
    <row r="444" spans="2:16" ht="45" x14ac:dyDescent="0.25">
      <c r="B444" s="23">
        <v>271</v>
      </c>
      <c r="C444" s="24" t="s">
        <v>982</v>
      </c>
      <c r="D444" s="25" t="s">
        <v>983</v>
      </c>
      <c r="E444" s="25" t="s">
        <v>348</v>
      </c>
      <c r="F444" s="26">
        <v>9.3109999999999999</v>
      </c>
      <c r="G444" s="27">
        <v>2</v>
      </c>
      <c r="H444" s="28">
        <f>F444 * G444 * 850.2501</f>
        <v>15833.357362199999</v>
      </c>
      <c r="I444" s="28">
        <f>F444 * G444 * 0</f>
        <v>0</v>
      </c>
      <c r="J444" s="28">
        <f>F444 * G444 * 0</f>
        <v>0</v>
      </c>
      <c r="K444" s="28">
        <f>F444 * G444 * 809.438095</f>
        <v>15073.35620509</v>
      </c>
      <c r="L444" s="28">
        <f>F444 * G444 * 174.267261</f>
        <v>3245.2049343419999</v>
      </c>
      <c r="M444" s="28">
        <f>F444 * G444 * 170.05002</f>
        <v>3166.6714724399999</v>
      </c>
      <c r="N444" s="29">
        <f>SUM(H444:M444)</f>
        <v>37318.589974071998</v>
      </c>
      <c r="O444" s="92">
        <f t="shared" si="152"/>
        <v>45700.905061098187</v>
      </c>
      <c r="P444" s="30">
        <f>IF($P$10&gt;0,N444/$P$10/12,0)</f>
        <v>0.33400091266666659</v>
      </c>
    </row>
    <row r="445" spans="2:16" ht="13.9" customHeight="1" x14ac:dyDescent="0.25">
      <c r="B445" s="109" t="s">
        <v>387</v>
      </c>
      <c r="C445" s="109"/>
      <c r="D445" s="109"/>
      <c r="E445" s="109"/>
      <c r="F445" s="109"/>
      <c r="G445" s="109"/>
      <c r="H445" s="36">
        <f t="shared" ref="H445:P445" si="153">SUM(H440:H444)</f>
        <v>75406.521956319993</v>
      </c>
      <c r="I445" s="36">
        <f t="shared" si="153"/>
        <v>30924.311012783</v>
      </c>
      <c r="J445" s="36">
        <f t="shared" si="153"/>
        <v>0</v>
      </c>
      <c r="K445" s="36">
        <f t="shared" si="153"/>
        <v>71787.008890871002</v>
      </c>
      <c r="L445" s="36">
        <f t="shared" si="153"/>
        <v>18702.373408611998</v>
      </c>
      <c r="M445" s="36">
        <f t="shared" si="153"/>
        <v>15081.304391264002</v>
      </c>
      <c r="N445" s="36">
        <f t="shared" si="153"/>
        <v>211901.51965985002</v>
      </c>
      <c r="O445" s="36">
        <f t="shared" si="153"/>
        <v>259497.77949824728</v>
      </c>
      <c r="P445" s="37">
        <f t="shared" si="153"/>
        <v>2.1724586450094412</v>
      </c>
    </row>
    <row r="446" spans="2:16" x14ac:dyDescent="0.25">
      <c r="B446" s="102" t="s">
        <v>984</v>
      </c>
      <c r="C446" s="102"/>
      <c r="D446" s="102"/>
      <c r="E446" s="102"/>
      <c r="F446" s="102"/>
      <c r="G446" s="102"/>
      <c r="H446" s="102"/>
      <c r="I446" s="102"/>
      <c r="J446" s="102"/>
      <c r="K446" s="102"/>
      <c r="L446" s="102"/>
      <c r="M446" s="110"/>
      <c r="N446" s="110"/>
      <c r="O446" s="49"/>
      <c r="P446" s="38"/>
    </row>
    <row r="447" spans="2:16" x14ac:dyDescent="0.25">
      <c r="B447" s="102"/>
      <c r="C447" s="102"/>
      <c r="D447" s="102"/>
      <c r="E447" s="102"/>
      <c r="F447" s="102"/>
      <c r="G447" s="102"/>
      <c r="H447" s="102"/>
      <c r="I447" s="102"/>
      <c r="J447" s="102"/>
      <c r="K447" s="102"/>
      <c r="L447" s="102"/>
      <c r="M447" s="111"/>
      <c r="N447" s="111"/>
      <c r="O447" s="93"/>
      <c r="P447" s="39"/>
    </row>
    <row r="448" spans="2:16" ht="13.9" customHeight="1" x14ac:dyDescent="0.25">
      <c r="B448" s="21"/>
      <c r="C448" s="22" t="s">
        <v>985</v>
      </c>
      <c r="D448" s="105" t="s">
        <v>986</v>
      </c>
      <c r="E448" s="105"/>
      <c r="F448" s="105"/>
      <c r="G448" s="105"/>
      <c r="H448" s="105"/>
      <c r="I448" s="105"/>
      <c r="J448" s="105"/>
      <c r="K448" s="105"/>
      <c r="L448" s="105"/>
      <c r="M448" s="105"/>
      <c r="N448" s="105"/>
      <c r="O448" s="105"/>
      <c r="P448" s="105"/>
    </row>
    <row r="449" spans="2:16" x14ac:dyDescent="0.25">
      <c r="B449" s="32"/>
      <c r="C449" s="33" t="s">
        <v>987</v>
      </c>
      <c r="D449" s="106" t="s">
        <v>988</v>
      </c>
      <c r="E449" s="106"/>
      <c r="F449" s="106"/>
      <c r="G449" s="106"/>
      <c r="H449" s="106"/>
      <c r="I449" s="106"/>
      <c r="J449" s="106"/>
      <c r="K449" s="106"/>
      <c r="L449" s="106"/>
      <c r="M449" s="106"/>
      <c r="N449" s="106"/>
      <c r="O449" s="106"/>
      <c r="P449" s="106"/>
    </row>
    <row r="450" spans="2:16" x14ac:dyDescent="0.25">
      <c r="B450" s="32"/>
      <c r="C450" s="33" t="s">
        <v>989</v>
      </c>
      <c r="D450" s="107" t="s">
        <v>990</v>
      </c>
      <c r="E450" s="107"/>
      <c r="F450" s="107"/>
      <c r="G450" s="107"/>
      <c r="H450" s="107"/>
      <c r="I450" s="107"/>
      <c r="J450" s="107"/>
      <c r="K450" s="107"/>
      <c r="L450" s="107"/>
      <c r="M450" s="107"/>
      <c r="N450" s="107"/>
      <c r="O450" s="107"/>
      <c r="P450" s="107"/>
    </row>
    <row r="451" spans="2:16" x14ac:dyDescent="0.25">
      <c r="B451" s="23">
        <v>272</v>
      </c>
      <c r="C451" s="24" t="s">
        <v>991</v>
      </c>
      <c r="D451" s="25" t="s">
        <v>992</v>
      </c>
      <c r="E451" s="25" t="s">
        <v>214</v>
      </c>
      <c r="F451" s="26">
        <v>4.6948999999999996</v>
      </c>
      <c r="G451" s="27">
        <v>1</v>
      </c>
      <c r="H451" s="28">
        <f>F451 * G451 * 3246.368554</f>
        <v>15241.375724174599</v>
      </c>
      <c r="I451" s="28">
        <f>F451 * G451 * 517.948021</f>
        <v>2431.7141637928999</v>
      </c>
      <c r="J451" s="28">
        <f>F451 * G451 * 0</f>
        <v>0</v>
      </c>
      <c r="K451" s="28">
        <f>F451 * G451 * 3090.542863</f>
        <v>14509.7896874987</v>
      </c>
      <c r="L451" s="28">
        <f>F451 * G451 * 719.760241</f>
        <v>3379.2023554708994</v>
      </c>
      <c r="M451" s="28">
        <f>F451 * G451 * 649.273711</f>
        <v>3048.2751457739</v>
      </c>
      <c r="N451" s="29">
        <f>SUM(H451:M451)</f>
        <v>38610.357076711</v>
      </c>
      <c r="O451" s="92">
        <f t="shared" ref="O451" si="154">N451*1.07*1.09*1.05</f>
        <v>47282.822431496454</v>
      </c>
      <c r="P451" s="30">
        <f>IF($P$10&gt;0,N451/$P$10/12,0)</f>
        <v>0.34556221204946658</v>
      </c>
    </row>
    <row r="452" spans="2:16" x14ac:dyDescent="0.25">
      <c r="B452" s="32"/>
      <c r="C452" s="33" t="s">
        <v>993</v>
      </c>
      <c r="D452" s="106" t="s">
        <v>994</v>
      </c>
      <c r="E452" s="106"/>
      <c r="F452" s="106"/>
      <c r="G452" s="106"/>
      <c r="H452" s="106"/>
      <c r="I452" s="106"/>
      <c r="J452" s="106"/>
      <c r="K452" s="106"/>
      <c r="L452" s="106"/>
      <c r="M452" s="106"/>
      <c r="N452" s="106"/>
      <c r="O452" s="106"/>
      <c r="P452" s="106"/>
    </row>
    <row r="453" spans="2:16" x14ac:dyDescent="0.25">
      <c r="B453" s="32"/>
      <c r="C453" s="33" t="s">
        <v>995</v>
      </c>
      <c r="D453" s="107" t="s">
        <v>996</v>
      </c>
      <c r="E453" s="107"/>
      <c r="F453" s="107"/>
      <c r="G453" s="107"/>
      <c r="H453" s="107"/>
      <c r="I453" s="107"/>
      <c r="J453" s="107"/>
      <c r="K453" s="107"/>
      <c r="L453" s="107"/>
      <c r="M453" s="107"/>
      <c r="N453" s="107"/>
      <c r="O453" s="107"/>
      <c r="P453" s="107"/>
    </row>
    <row r="454" spans="2:16" ht="30" x14ac:dyDescent="0.25">
      <c r="B454" s="23">
        <v>273</v>
      </c>
      <c r="C454" s="24" t="s">
        <v>997</v>
      </c>
      <c r="D454" s="25" t="s">
        <v>998</v>
      </c>
      <c r="E454" s="25" t="s">
        <v>999</v>
      </c>
      <c r="F454" s="26">
        <v>2.2200000000000001E-2</v>
      </c>
      <c r="G454" s="27">
        <v>1</v>
      </c>
      <c r="H454" s="28">
        <f>F454 * G454 * 123108.11686</f>
        <v>2733.0001942919998</v>
      </c>
      <c r="I454" s="28">
        <f>F454 * G454 * 64495.72134</f>
        <v>1431.805013748</v>
      </c>
      <c r="J454" s="28">
        <f>F454 * G454 * 717.56692</f>
        <v>15.929985624</v>
      </c>
      <c r="K454" s="28">
        <f>F454 * G454 * 117798.394095</f>
        <v>2615.1243489090002</v>
      </c>
      <c r="L454" s="28">
        <f>F454 * G454 * 32142.578917</f>
        <v>713.56525195740005</v>
      </c>
      <c r="M454" s="28">
        <f>F454 * G454 * 24747.561785</f>
        <v>549.39587162700002</v>
      </c>
      <c r="N454" s="29">
        <f>SUM(H454:M454)</f>
        <v>8058.8206661573995</v>
      </c>
      <c r="O454" s="92">
        <f t="shared" ref="O454" si="155">N454*1.07*1.09*1.05</f>
        <v>9868.9526700863444</v>
      </c>
      <c r="P454" s="30">
        <f>IF($P$10&gt;0,N454/$P$10/12,0)</f>
        <v>7.2126343985227145E-2</v>
      </c>
    </row>
    <row r="455" spans="2:16" ht="13.9" customHeight="1" x14ac:dyDescent="0.25">
      <c r="B455" s="21"/>
      <c r="C455" s="22" t="s">
        <v>327</v>
      </c>
      <c r="D455" s="105" t="s">
        <v>328</v>
      </c>
      <c r="E455" s="105"/>
      <c r="F455" s="105"/>
      <c r="G455" s="105"/>
      <c r="H455" s="105"/>
      <c r="I455" s="105"/>
      <c r="J455" s="105"/>
      <c r="K455" s="105"/>
      <c r="L455" s="105"/>
      <c r="M455" s="105"/>
      <c r="N455" s="105"/>
      <c r="O455" s="105"/>
      <c r="P455" s="105"/>
    </row>
    <row r="456" spans="2:16" x14ac:dyDescent="0.25">
      <c r="B456" s="32"/>
      <c r="C456" s="33" t="s">
        <v>978</v>
      </c>
      <c r="D456" s="106" t="s">
        <v>979</v>
      </c>
      <c r="E456" s="106"/>
      <c r="F456" s="106"/>
      <c r="G456" s="106"/>
      <c r="H456" s="106"/>
      <c r="I456" s="106"/>
      <c r="J456" s="106"/>
      <c r="K456" s="106"/>
      <c r="L456" s="106"/>
      <c r="M456" s="106"/>
      <c r="N456" s="106"/>
      <c r="O456" s="106"/>
      <c r="P456" s="106"/>
    </row>
    <row r="457" spans="2:16" ht="30" x14ac:dyDescent="0.25">
      <c r="B457" s="23">
        <v>274</v>
      </c>
      <c r="C457" s="24" t="s">
        <v>980</v>
      </c>
      <c r="D457" s="25" t="s">
        <v>981</v>
      </c>
      <c r="E457" s="25" t="s">
        <v>348</v>
      </c>
      <c r="F457" s="26">
        <v>9.3109999999999999</v>
      </c>
      <c r="G457" s="27">
        <v>2</v>
      </c>
      <c r="H457" s="28">
        <f>F457 * G457 * 850.2501</f>
        <v>15833.357362199999</v>
      </c>
      <c r="I457" s="28">
        <f>F457 * G457 * 0</f>
        <v>0</v>
      </c>
      <c r="J457" s="28">
        <f>F457 * G457 * 0</f>
        <v>0</v>
      </c>
      <c r="K457" s="28">
        <f>F457 * G457 * 809.438095</f>
        <v>15073.35620509</v>
      </c>
      <c r="L457" s="28">
        <f>F457 * G457 * 174.267261</f>
        <v>3245.2049343419999</v>
      </c>
      <c r="M457" s="28">
        <f>F457 * G457 * 170.05002</f>
        <v>3166.6714724399999</v>
      </c>
      <c r="N457" s="29">
        <f>SUM(H457:M457)</f>
        <v>37318.589974071998</v>
      </c>
      <c r="O457" s="92">
        <f t="shared" ref="O457:O458" si="156">N457*1.07*1.09*1.05</f>
        <v>45700.905061098187</v>
      </c>
      <c r="P457" s="30">
        <f>IF($P$10&gt;0,N457/$P$10/12,0)</f>
        <v>0.33400091266666659</v>
      </c>
    </row>
    <row r="458" spans="2:16" ht="45" x14ac:dyDescent="0.25">
      <c r="B458" s="23">
        <v>275</v>
      </c>
      <c r="C458" s="24" t="s">
        <v>982</v>
      </c>
      <c r="D458" s="25" t="s">
        <v>983</v>
      </c>
      <c r="E458" s="25" t="s">
        <v>348</v>
      </c>
      <c r="F458" s="26">
        <v>9.3109999999999999</v>
      </c>
      <c r="G458" s="27">
        <v>4</v>
      </c>
      <c r="H458" s="28">
        <f>F458 * G458 * 850.2501</f>
        <v>31666.714724399997</v>
      </c>
      <c r="I458" s="28">
        <f>F458 * G458 * 0</f>
        <v>0</v>
      </c>
      <c r="J458" s="28">
        <f>F458 * G458 * 0</f>
        <v>0</v>
      </c>
      <c r="K458" s="28">
        <f>F458 * G458 * 809.438095</f>
        <v>30146.71241018</v>
      </c>
      <c r="L458" s="28">
        <f>F458 * G458 * 174.267261</f>
        <v>6490.4098686839998</v>
      </c>
      <c r="M458" s="28">
        <f>F458 * G458 * 170.05002</f>
        <v>6333.3429448799998</v>
      </c>
      <c r="N458" s="29">
        <f>SUM(H458:M458)</f>
        <v>74637.179948143996</v>
      </c>
      <c r="O458" s="92">
        <f t="shared" si="156"/>
        <v>91401.810122196373</v>
      </c>
      <c r="P458" s="30">
        <f>IF($P$10&gt;0,N458/$P$10/12,0)</f>
        <v>0.66800182533333319</v>
      </c>
    </row>
    <row r="459" spans="2:16" ht="13.9" customHeight="1" x14ac:dyDescent="0.25">
      <c r="B459" s="109" t="s">
        <v>387</v>
      </c>
      <c r="C459" s="109"/>
      <c r="D459" s="109"/>
      <c r="E459" s="109"/>
      <c r="F459" s="109"/>
      <c r="G459" s="109"/>
      <c r="H459" s="36">
        <f t="shared" ref="H459:P459" si="157">SUM(H448:H458)</f>
        <v>65474.448005066588</v>
      </c>
      <c r="I459" s="36">
        <f t="shared" si="157"/>
        <v>3863.5191775408998</v>
      </c>
      <c r="J459" s="36">
        <f t="shared" si="157"/>
        <v>15.929985624</v>
      </c>
      <c r="K459" s="36">
        <f t="shared" si="157"/>
        <v>62344.982651677696</v>
      </c>
      <c r="L459" s="36">
        <f t="shared" si="157"/>
        <v>13828.382410454298</v>
      </c>
      <c r="M459" s="36">
        <f t="shared" si="157"/>
        <v>13097.685434720899</v>
      </c>
      <c r="N459" s="36">
        <f t="shared" si="157"/>
        <v>158624.94766508439</v>
      </c>
      <c r="O459" s="36">
        <f t="shared" si="157"/>
        <v>194254.49028487736</v>
      </c>
      <c r="P459" s="37">
        <f t="shared" si="157"/>
        <v>1.4196912940346935</v>
      </c>
    </row>
    <row r="460" spans="2:16" x14ac:dyDescent="0.25">
      <c r="B460" s="102" t="s">
        <v>1000</v>
      </c>
      <c r="C460" s="102"/>
      <c r="D460" s="102"/>
      <c r="E460" s="102"/>
      <c r="F460" s="102"/>
      <c r="G460" s="102"/>
      <c r="H460" s="102"/>
      <c r="I460" s="102"/>
      <c r="J460" s="102"/>
      <c r="K460" s="102"/>
      <c r="L460" s="102"/>
      <c r="M460" s="110"/>
      <c r="N460" s="110"/>
      <c r="O460" s="49"/>
      <c r="P460" s="38"/>
    </row>
    <row r="461" spans="2:16" x14ac:dyDescent="0.25">
      <c r="B461" s="102"/>
      <c r="C461" s="102"/>
      <c r="D461" s="102"/>
      <c r="E461" s="102"/>
      <c r="F461" s="102"/>
      <c r="G461" s="102"/>
      <c r="H461" s="102"/>
      <c r="I461" s="102"/>
      <c r="J461" s="102"/>
      <c r="K461" s="102"/>
      <c r="L461" s="102"/>
      <c r="M461" s="111"/>
      <c r="N461" s="111"/>
      <c r="O461" s="93"/>
      <c r="P461" s="39"/>
    </row>
    <row r="462" spans="2:16" ht="13.9" customHeight="1" x14ac:dyDescent="0.25">
      <c r="B462" s="21"/>
      <c r="C462" s="22" t="s">
        <v>1001</v>
      </c>
      <c r="D462" s="105" t="s">
        <v>1002</v>
      </c>
      <c r="E462" s="105"/>
      <c r="F462" s="105"/>
      <c r="G462" s="105"/>
      <c r="H462" s="105"/>
      <c r="I462" s="105"/>
      <c r="J462" s="105"/>
      <c r="K462" s="105"/>
      <c r="L462" s="105"/>
      <c r="M462" s="105"/>
      <c r="N462" s="105"/>
      <c r="O462" s="105"/>
      <c r="P462" s="105"/>
    </row>
    <row r="463" spans="2:16" x14ac:dyDescent="0.25">
      <c r="B463" s="32"/>
      <c r="C463" s="33" t="s">
        <v>1003</v>
      </c>
      <c r="D463" s="106" t="s">
        <v>1004</v>
      </c>
      <c r="E463" s="106"/>
      <c r="F463" s="106"/>
      <c r="G463" s="106"/>
      <c r="H463" s="106"/>
      <c r="I463" s="106"/>
      <c r="J463" s="106"/>
      <c r="K463" s="106"/>
      <c r="L463" s="106"/>
      <c r="M463" s="106"/>
      <c r="N463" s="106"/>
      <c r="O463" s="106"/>
      <c r="P463" s="106"/>
    </row>
    <row r="464" spans="2:16" x14ac:dyDescent="0.25">
      <c r="B464" s="32"/>
      <c r="C464" s="33" t="s">
        <v>1005</v>
      </c>
      <c r="D464" s="107" t="s">
        <v>1006</v>
      </c>
      <c r="E464" s="107"/>
      <c r="F464" s="107"/>
      <c r="G464" s="107"/>
      <c r="H464" s="107"/>
      <c r="I464" s="107"/>
      <c r="J464" s="107"/>
      <c r="K464" s="107"/>
      <c r="L464" s="107"/>
      <c r="M464" s="107"/>
      <c r="N464" s="107"/>
      <c r="O464" s="107"/>
      <c r="P464" s="107"/>
    </row>
    <row r="465" spans="2:16" ht="45" x14ac:dyDescent="0.25">
      <c r="B465" s="23">
        <v>276</v>
      </c>
      <c r="C465" s="24" t="s">
        <v>1007</v>
      </c>
      <c r="D465" s="25" t="s">
        <v>1008</v>
      </c>
      <c r="E465" s="25" t="s">
        <v>1009</v>
      </c>
      <c r="F465" s="26">
        <v>5</v>
      </c>
      <c r="G465" s="27">
        <v>5</v>
      </c>
      <c r="H465" s="28">
        <f>F465 * G465 * 492.88148</f>
        <v>12322.037</v>
      </c>
      <c r="I465" s="28">
        <f>F465 * G465 * 0</f>
        <v>0</v>
      </c>
      <c r="J465" s="28">
        <f>F465 * G465 * 0</f>
        <v>0</v>
      </c>
      <c r="K465" s="28">
        <f>F465 * G465 * 469.223169</f>
        <v>11730.579224999999</v>
      </c>
      <c r="L465" s="28">
        <f>F465 * G465 * 101.020988</f>
        <v>2525.5246999999999</v>
      </c>
      <c r="M465" s="28">
        <f>F465 * G465 * 98.576296</f>
        <v>2464.4074000000001</v>
      </c>
      <c r="N465" s="29">
        <f>SUM(H465:M465)</f>
        <v>29042.548325</v>
      </c>
      <c r="O465" s="92">
        <f t="shared" ref="O465:O466" si="158">N465*1.07*1.09*1.05</f>
        <v>35565.940317019878</v>
      </c>
      <c r="P465" s="30">
        <f>IF($P$10&gt;0,N465/$P$10/12,0)</f>
        <v>0.25993044360612894</v>
      </c>
    </row>
    <row r="466" spans="2:16" x14ac:dyDescent="0.25">
      <c r="B466" s="23">
        <v>277</v>
      </c>
      <c r="C466" s="24" t="s">
        <v>1010</v>
      </c>
      <c r="D466" s="25" t="s">
        <v>1011</v>
      </c>
      <c r="E466" s="25" t="s">
        <v>1012</v>
      </c>
      <c r="F466" s="26">
        <v>9.3109999999999999</v>
      </c>
      <c r="G466" s="27">
        <v>6</v>
      </c>
      <c r="H466" s="28">
        <f>F466 * G466 * 101.22025</f>
        <v>5654.7704864999996</v>
      </c>
      <c r="I466" s="28">
        <f>F466 * G466 * 0</f>
        <v>0</v>
      </c>
      <c r="J466" s="28">
        <f>F466 * G466 * 0</f>
        <v>0</v>
      </c>
      <c r="K466" s="28">
        <f>F466 * G466 * 96.361677</f>
        <v>5383.3414472819995</v>
      </c>
      <c r="L466" s="28">
        <f>F466 * G466 * 20.7461029999999</f>
        <v>1159.0017901979943</v>
      </c>
      <c r="M466" s="28">
        <f>F466 * G466 * 20.24405</f>
        <v>1130.9540973000001</v>
      </c>
      <c r="N466" s="29">
        <f>SUM(H466:M466)</f>
        <v>13328.067821279992</v>
      </c>
      <c r="O466" s="92">
        <f t="shared" si="158"/>
        <v>16321.751774956801</v>
      </c>
      <c r="P466" s="30">
        <f>IF($P$10&gt;0,N466/$P$10/12,0)</f>
        <v>0.11928603999999993</v>
      </c>
    </row>
    <row r="467" spans="2:16" x14ac:dyDescent="0.25">
      <c r="B467" s="32"/>
      <c r="C467" s="33" t="s">
        <v>1013</v>
      </c>
      <c r="D467" s="106" t="s">
        <v>1014</v>
      </c>
      <c r="E467" s="106"/>
      <c r="F467" s="106"/>
      <c r="G467" s="106"/>
      <c r="H467" s="106"/>
      <c r="I467" s="106"/>
      <c r="J467" s="106"/>
      <c r="K467" s="106"/>
      <c r="L467" s="106"/>
      <c r="M467" s="106"/>
      <c r="N467" s="106"/>
      <c r="O467" s="106"/>
      <c r="P467" s="106"/>
    </row>
    <row r="468" spans="2:16" x14ac:dyDescent="0.25">
      <c r="B468" s="23">
        <v>278</v>
      </c>
      <c r="C468" s="24" t="s">
        <v>1015</v>
      </c>
      <c r="D468" s="25" t="s">
        <v>1016</v>
      </c>
      <c r="E468" s="25" t="s">
        <v>1009</v>
      </c>
      <c r="F468" s="26">
        <v>5</v>
      </c>
      <c r="G468" s="27">
        <v>6</v>
      </c>
      <c r="H468" s="28">
        <f>F468 * G468 * 334.026825</f>
        <v>10020.804749999999</v>
      </c>
      <c r="I468" s="28">
        <f>F468 * G468 * 87.928396</f>
        <v>2637.8518800000002</v>
      </c>
      <c r="J468" s="28">
        <f>F468 * G468 * 0</f>
        <v>0</v>
      </c>
      <c r="K468" s="28">
        <f>F468 * G468 * 317.993537</f>
        <v>9539.8061099999995</v>
      </c>
      <c r="L468" s="28">
        <f>F468 * G468 * 77.69462</f>
        <v>2330.8386</v>
      </c>
      <c r="M468" s="28">
        <f>F468 * G468 * 66.805365</f>
        <v>2004.16095</v>
      </c>
      <c r="N468" s="29">
        <f>SUM(H468:M468)</f>
        <v>26533.462289999999</v>
      </c>
      <c r="O468" s="92">
        <f t="shared" ref="O468" si="159">N468*1.07*1.09*1.05</f>
        <v>32493.275922268356</v>
      </c>
      <c r="P468" s="30">
        <f>IF($P$10&gt;0,N468/$P$10/12,0)</f>
        <v>0.23747415503168293</v>
      </c>
    </row>
    <row r="469" spans="2:16" ht="13.9" customHeight="1" x14ac:dyDescent="0.25">
      <c r="B469" s="109" t="s">
        <v>387</v>
      </c>
      <c r="C469" s="109"/>
      <c r="D469" s="109"/>
      <c r="E469" s="109"/>
      <c r="F469" s="109"/>
      <c r="G469" s="109"/>
      <c r="H469" s="36">
        <f t="shared" ref="H469:P469" si="160">SUM(H462:H468)</f>
        <v>27997.612236500001</v>
      </c>
      <c r="I469" s="36">
        <f t="shared" si="160"/>
        <v>2637.8518800000002</v>
      </c>
      <c r="J469" s="36">
        <f t="shared" si="160"/>
        <v>0</v>
      </c>
      <c r="K469" s="36">
        <f t="shared" si="160"/>
        <v>26653.726782281999</v>
      </c>
      <c r="L469" s="36">
        <f t="shared" si="160"/>
        <v>6015.3650901979945</v>
      </c>
      <c r="M469" s="36">
        <f t="shared" si="160"/>
        <v>5599.5224472999998</v>
      </c>
      <c r="N469" s="36">
        <f t="shared" si="160"/>
        <v>68904.07843627999</v>
      </c>
      <c r="O469" s="36">
        <f t="shared" si="160"/>
        <v>84380.968014245038</v>
      </c>
      <c r="P469" s="37">
        <f t="shared" si="160"/>
        <v>0.61669063863781182</v>
      </c>
    </row>
    <row r="470" spans="2:16" x14ac:dyDescent="0.25">
      <c r="B470" s="102" t="s">
        <v>1017</v>
      </c>
      <c r="C470" s="102"/>
      <c r="D470" s="102"/>
      <c r="E470" s="102"/>
      <c r="F470" s="102"/>
      <c r="G470" s="102"/>
      <c r="H470" s="102"/>
      <c r="I470" s="102"/>
      <c r="J470" s="102"/>
      <c r="K470" s="102"/>
      <c r="L470" s="102"/>
      <c r="M470" s="112"/>
      <c r="N470" s="112"/>
      <c r="O470" s="94"/>
      <c r="P470" s="38"/>
    </row>
    <row r="471" spans="2:16" x14ac:dyDescent="0.25">
      <c r="B471" s="102"/>
      <c r="C471" s="102"/>
      <c r="D471" s="102"/>
      <c r="E471" s="102"/>
      <c r="F471" s="102"/>
      <c r="G471" s="102"/>
      <c r="H471" s="102"/>
      <c r="I471" s="102"/>
      <c r="J471" s="102"/>
      <c r="K471" s="102"/>
      <c r="L471" s="102"/>
      <c r="M471" s="113"/>
      <c r="N471" s="113"/>
      <c r="O471" s="95"/>
      <c r="P471" s="39"/>
    </row>
    <row r="472" spans="2:16" ht="13.9" customHeight="1" x14ac:dyDescent="0.25">
      <c r="B472" s="21"/>
      <c r="C472" s="22" t="s">
        <v>1018</v>
      </c>
      <c r="D472" s="105" t="s">
        <v>1019</v>
      </c>
      <c r="E472" s="105"/>
      <c r="F472" s="105"/>
      <c r="G472" s="105"/>
      <c r="H472" s="105"/>
      <c r="I472" s="105"/>
      <c r="J472" s="105"/>
      <c r="K472" s="105"/>
      <c r="L472" s="105"/>
      <c r="M472" s="105"/>
      <c r="N472" s="105"/>
      <c r="O472" s="105"/>
      <c r="P472" s="105"/>
    </row>
    <row r="473" spans="2:16" x14ac:dyDescent="0.25">
      <c r="B473" s="32"/>
      <c r="C473" s="33" t="s">
        <v>1020</v>
      </c>
      <c r="D473" s="106" t="s">
        <v>1021</v>
      </c>
      <c r="E473" s="106"/>
      <c r="F473" s="106"/>
      <c r="G473" s="106"/>
      <c r="H473" s="106"/>
      <c r="I473" s="106"/>
      <c r="J473" s="106"/>
      <c r="K473" s="106"/>
      <c r="L473" s="106"/>
      <c r="M473" s="106"/>
      <c r="N473" s="106"/>
      <c r="O473" s="106"/>
      <c r="P473" s="106"/>
    </row>
    <row r="474" spans="2:16" x14ac:dyDescent="0.25">
      <c r="B474" s="32"/>
      <c r="C474" s="33" t="s">
        <v>1022</v>
      </c>
      <c r="D474" s="108" t="s">
        <v>1023</v>
      </c>
      <c r="E474" s="108"/>
      <c r="F474" s="108"/>
      <c r="G474" s="108"/>
      <c r="H474" s="108"/>
      <c r="I474" s="108"/>
      <c r="J474" s="108"/>
      <c r="K474" s="108"/>
      <c r="L474" s="108"/>
      <c r="M474" s="108"/>
      <c r="N474" s="108"/>
      <c r="O474" s="108"/>
      <c r="P474" s="108"/>
    </row>
    <row r="475" spans="2:16" x14ac:dyDescent="0.25">
      <c r="B475" s="32"/>
      <c r="C475" s="33" t="s">
        <v>1024</v>
      </c>
      <c r="D475" s="108" t="s">
        <v>1025</v>
      </c>
      <c r="E475" s="108"/>
      <c r="F475" s="108"/>
      <c r="G475" s="108"/>
      <c r="H475" s="108"/>
      <c r="I475" s="108"/>
      <c r="J475" s="108"/>
      <c r="K475" s="108"/>
      <c r="L475" s="108"/>
      <c r="M475" s="108"/>
      <c r="N475" s="108"/>
      <c r="O475" s="108"/>
      <c r="P475" s="108"/>
    </row>
    <row r="476" spans="2:16" ht="45" x14ac:dyDescent="0.25">
      <c r="B476" s="23">
        <v>279</v>
      </c>
      <c r="C476" s="24" t="s">
        <v>1026</v>
      </c>
      <c r="D476" s="25" t="s">
        <v>1027</v>
      </c>
      <c r="E476" s="25" t="s">
        <v>1028</v>
      </c>
      <c r="F476" s="26">
        <v>3.86</v>
      </c>
      <c r="G476" s="27">
        <v>144</v>
      </c>
      <c r="H476" s="40">
        <f>F476 * G476 * 216.485569</f>
        <v>120331.33867296</v>
      </c>
      <c r="I476" s="40">
        <f>F476 * G476 * 0</f>
        <v>0</v>
      </c>
      <c r="J476" s="40">
        <f>F476 * G476 * 0</f>
        <v>0</v>
      </c>
      <c r="K476" s="40">
        <f>F476 * G476 * 206.094262</f>
        <v>114555.43459008</v>
      </c>
      <c r="L476" s="40">
        <f>F476 * G476 * 44.370882</f>
        <v>24663.111050880001</v>
      </c>
      <c r="M476" s="40">
        <f>F476 * G476 * 43.297114</f>
        <v>24066.267845760001</v>
      </c>
      <c r="N476" s="41">
        <f>SUM(H476:M476)</f>
        <v>283616.15215967997</v>
      </c>
      <c r="O476" s="96">
        <f t="shared" ref="O476:O477" si="161">N476*1.07*1.09*1.05</f>
        <v>347320.59417702653</v>
      </c>
      <c r="P476" s="30">
        <f>IF($P$10&gt;0,N476/$P$10/12,0)</f>
        <v>2.5383610081237244</v>
      </c>
    </row>
    <row r="477" spans="2:16" ht="45" x14ac:dyDescent="0.25">
      <c r="B477" s="23">
        <v>280</v>
      </c>
      <c r="C477" s="24" t="s">
        <v>1029</v>
      </c>
      <c r="D477" s="25" t="s">
        <v>1030</v>
      </c>
      <c r="E477" s="25" t="s">
        <v>1031</v>
      </c>
      <c r="F477" s="26">
        <v>11.59</v>
      </c>
      <c r="G477" s="27">
        <v>144</v>
      </c>
      <c r="H477" s="40">
        <f>F477 * G477 * 189.036004</f>
        <v>315493.52923584002</v>
      </c>
      <c r="I477" s="40">
        <f>F477 * G477 * 0</f>
        <v>0</v>
      </c>
      <c r="J477" s="40">
        <f>F477 * G477 * 0</f>
        <v>0</v>
      </c>
      <c r="K477" s="40">
        <f>F477 * G477 * 179.962276</f>
        <v>300349.84015296004</v>
      </c>
      <c r="L477" s="40">
        <f>F477 * G477 * 38.744819</f>
        <v>64663.553118240001</v>
      </c>
      <c r="M477" s="40">
        <f>F477 * G477 * 37.807201</f>
        <v>63098.706180959998</v>
      </c>
      <c r="N477" s="41">
        <f>SUM(H477:M477)</f>
        <v>743605.62868800014</v>
      </c>
      <c r="O477" s="96">
        <f t="shared" si="161"/>
        <v>910630.60697575554</v>
      </c>
      <c r="P477" s="30">
        <f>IF($P$10&gt;0,N477/$P$10/12,0)</f>
        <v>6.6552610593921182</v>
      </c>
    </row>
    <row r="478" spans="2:16" x14ac:dyDescent="0.25">
      <c r="B478" s="32"/>
      <c r="C478" s="33" t="s">
        <v>1032</v>
      </c>
      <c r="D478" s="108" t="s">
        <v>1033</v>
      </c>
      <c r="E478" s="108"/>
      <c r="F478" s="108"/>
      <c r="G478" s="108"/>
      <c r="H478" s="108"/>
      <c r="I478" s="108"/>
      <c r="J478" s="108"/>
      <c r="K478" s="108"/>
      <c r="L478" s="108"/>
      <c r="M478" s="108"/>
      <c r="N478" s="108"/>
      <c r="O478" s="108"/>
      <c r="P478" s="108"/>
    </row>
    <row r="479" spans="2:16" ht="45" x14ac:dyDescent="0.25">
      <c r="B479" s="23">
        <v>281</v>
      </c>
      <c r="C479" s="24" t="s">
        <v>1034</v>
      </c>
      <c r="D479" s="25" t="s">
        <v>1035</v>
      </c>
      <c r="E479" s="25" t="s">
        <v>1028</v>
      </c>
      <c r="F479" s="26">
        <v>3.86</v>
      </c>
      <c r="G479" s="27">
        <v>24</v>
      </c>
      <c r="H479" s="40">
        <f>F479 * G479 * 277.606601</f>
        <v>25717.475516640003</v>
      </c>
      <c r="I479" s="40">
        <f>F479 * G479 * 76.925322</f>
        <v>7126.3618300799999</v>
      </c>
      <c r="J479" s="40">
        <f>F479 * G479 * 0</f>
        <v>0</v>
      </c>
      <c r="K479" s="40">
        <f>F479 * G479 * 264.281485</f>
        <v>24483.036770399998</v>
      </c>
      <c r="L479" s="40">
        <f>F479 * G479 * 64.975408</f>
        <v>6019.3217971200002</v>
      </c>
      <c r="M479" s="40">
        <f>F479 * G479 * 55.52132</f>
        <v>5143.4950847999999</v>
      </c>
      <c r="N479" s="41">
        <f>SUM(H479:M479)</f>
        <v>68489.690999039987</v>
      </c>
      <c r="O479" s="96">
        <f t="shared" ref="O479:O480" si="162">N479*1.07*1.09*1.05</f>
        <v>83873.502942789361</v>
      </c>
      <c r="P479" s="30">
        <f>IF($P$10&gt;0,N479/$P$10/12,0)</f>
        <v>0.61298187626678113</v>
      </c>
    </row>
    <row r="480" spans="2:16" ht="45" x14ac:dyDescent="0.25">
      <c r="B480" s="23">
        <v>282</v>
      </c>
      <c r="C480" s="24" t="s">
        <v>1036</v>
      </c>
      <c r="D480" s="25" t="s">
        <v>1037</v>
      </c>
      <c r="E480" s="25" t="s">
        <v>1028</v>
      </c>
      <c r="F480" s="26">
        <v>11.59</v>
      </c>
      <c r="G480" s="27">
        <v>24</v>
      </c>
      <c r="H480" s="40">
        <f>F480 * G480 * 237.89623</f>
        <v>66173.2153368</v>
      </c>
      <c r="I480" s="40">
        <f>F480 * G480 * 76.925322</f>
        <v>21397.547567519996</v>
      </c>
      <c r="J480" s="40">
        <f>F480 * G480 * 0</f>
        <v>0</v>
      </c>
      <c r="K480" s="40">
        <f>F480 * G480 * 226.477211</f>
        <v>62996.901011759997</v>
      </c>
      <c r="L480" s="40">
        <f>F480 * G480 * 56.83637</f>
        <v>15809.604679199998</v>
      </c>
      <c r="M480" s="40">
        <f>F480 * G480 * 47.579246</f>
        <v>13234.643067359997</v>
      </c>
      <c r="N480" s="41">
        <f>SUM(H480:M480)</f>
        <v>179611.91166263999</v>
      </c>
      <c r="O480" s="96">
        <f t="shared" si="162"/>
        <v>219955.4412007439</v>
      </c>
      <c r="P480" s="30">
        <f>IF($P$10&gt;0,N480/$P$10/12,0)</f>
        <v>1.6075243588465256</v>
      </c>
    </row>
    <row r="481" spans="2:16" x14ac:dyDescent="0.25">
      <c r="B481" s="32"/>
      <c r="C481" s="33" t="s">
        <v>1038</v>
      </c>
      <c r="D481" s="106" t="s">
        <v>1039</v>
      </c>
      <c r="E481" s="106"/>
      <c r="F481" s="106"/>
      <c r="G481" s="106"/>
      <c r="H481" s="106"/>
      <c r="I481" s="106"/>
      <c r="J481" s="106"/>
      <c r="K481" s="106"/>
      <c r="L481" s="106"/>
      <c r="M481" s="106"/>
      <c r="N481" s="106"/>
      <c r="O481" s="106"/>
      <c r="P481" s="106"/>
    </row>
    <row r="482" spans="2:16" ht="30" x14ac:dyDescent="0.25">
      <c r="B482" s="23">
        <v>283</v>
      </c>
      <c r="C482" s="24" t="s">
        <v>1040</v>
      </c>
      <c r="D482" s="25" t="s">
        <v>1041</v>
      </c>
      <c r="E482" s="25" t="s">
        <v>36</v>
      </c>
      <c r="F482" s="26">
        <v>0.12</v>
      </c>
      <c r="G482" s="27">
        <v>1</v>
      </c>
      <c r="H482" s="40">
        <f>F482 * G482 * 164.69739</f>
        <v>19.763686800000002</v>
      </c>
      <c r="I482" s="40">
        <f>F482 * G482 * 9.87897</f>
        <v>1.1854764</v>
      </c>
      <c r="J482" s="40">
        <f>F482 * G482 * 0</f>
        <v>0</v>
      </c>
      <c r="K482" s="40">
        <f>F482 * G482 * 156.791916</f>
        <v>18.815029919999997</v>
      </c>
      <c r="L482" s="40">
        <f>F482 * G482 * 34.793669</f>
        <v>4.1752402799999997</v>
      </c>
      <c r="M482" s="40">
        <f>F482 * G482 * 32.939478</f>
        <v>3.95273736</v>
      </c>
      <c r="N482" s="41">
        <f>SUM(H482:M482)</f>
        <v>47.892170759999999</v>
      </c>
      <c r="O482" s="96">
        <f t="shared" ref="O482:O483" si="163">N482*1.07*1.09*1.05</f>
        <v>58.649470695257406</v>
      </c>
      <c r="P482" s="30">
        <f>IF($P$10&gt;0,N482/$P$10/12,0)</f>
        <v>4.2863432821394046E-4</v>
      </c>
    </row>
    <row r="483" spans="2:16" ht="30" x14ac:dyDescent="0.25">
      <c r="B483" s="23">
        <v>284</v>
      </c>
      <c r="C483" s="24" t="s">
        <v>1042</v>
      </c>
      <c r="D483" s="25" t="s">
        <v>1043</v>
      </c>
      <c r="E483" s="25" t="s">
        <v>1044</v>
      </c>
      <c r="F483" s="26">
        <v>0.105</v>
      </c>
      <c r="G483" s="27">
        <v>2</v>
      </c>
      <c r="H483" s="40">
        <f>F483 * G483 * 414.854426</f>
        <v>87.119429459999992</v>
      </c>
      <c r="I483" s="40">
        <f>F483 * G483 * 48.04673</f>
        <v>10.089813299999999</v>
      </c>
      <c r="J483" s="40">
        <f>F483 * G483 * 0</f>
        <v>0</v>
      </c>
      <c r="K483" s="40">
        <f>F483 * G483 * 394.941414</f>
        <v>82.937696939999995</v>
      </c>
      <c r="L483" s="40">
        <f>F483 * G483 * 90.07347</f>
        <v>18.9154287</v>
      </c>
      <c r="M483" s="40">
        <f>F483 * G483 * 82.970885</f>
        <v>17.423885849999998</v>
      </c>
      <c r="N483" s="41">
        <f>SUM(H483:M483)</f>
        <v>216.48625425</v>
      </c>
      <c r="O483" s="96">
        <f t="shared" si="163"/>
        <v>265.11231424836382</v>
      </c>
      <c r="P483" s="30">
        <f>IF($P$10&gt;0,N483/$P$10/12,0)</f>
        <v>1.9375492629685319E-3</v>
      </c>
    </row>
    <row r="484" spans="2:16" x14ac:dyDescent="0.25">
      <c r="B484" s="32"/>
      <c r="C484" s="33" t="s">
        <v>1045</v>
      </c>
      <c r="D484" s="106" t="s">
        <v>1046</v>
      </c>
      <c r="E484" s="106"/>
      <c r="F484" s="106"/>
      <c r="G484" s="106"/>
      <c r="H484" s="106"/>
      <c r="I484" s="106"/>
      <c r="J484" s="106"/>
      <c r="K484" s="106"/>
      <c r="L484" s="106"/>
      <c r="M484" s="106"/>
      <c r="N484" s="106"/>
      <c r="O484" s="106"/>
      <c r="P484" s="106"/>
    </row>
    <row r="485" spans="2:16" ht="30" x14ac:dyDescent="0.25">
      <c r="B485" s="23">
        <v>285</v>
      </c>
      <c r="C485" s="24" t="s">
        <v>1047</v>
      </c>
      <c r="D485" s="25" t="s">
        <v>1048</v>
      </c>
      <c r="E485" s="25" t="s">
        <v>1049</v>
      </c>
      <c r="F485" s="26">
        <v>0.22</v>
      </c>
      <c r="G485" s="27">
        <v>1</v>
      </c>
      <c r="H485" s="40">
        <f>F485 * G485 * 417.782379</f>
        <v>91.912123379999997</v>
      </c>
      <c r="I485" s="40">
        <f>F485 * G485 * 70.02635</f>
        <v>15.405796999999998</v>
      </c>
      <c r="J485" s="40">
        <f>F485 * G485 * 0</f>
        <v>0</v>
      </c>
      <c r="K485" s="40">
        <f>F485 * G485 * 397.728824</f>
        <v>87.500341280000001</v>
      </c>
      <c r="L485" s="40">
        <f>F485 * G485 * 92.981443</f>
        <v>20.455917459999998</v>
      </c>
      <c r="M485" s="40">
        <f>F485 * G485 * 83.556476</f>
        <v>18.382424719999999</v>
      </c>
      <c r="N485" s="41">
        <f>SUM(H485:M485)</f>
        <v>233.65660383999997</v>
      </c>
      <c r="O485" s="96">
        <f t="shared" ref="O485:O486" si="164">N485*1.07*1.09*1.05</f>
        <v>286.13938191152164</v>
      </c>
      <c r="P485" s="30">
        <f>IF($P$10&gt;0,N485/$P$10/12,0)</f>
        <v>2.0912236766548525E-3</v>
      </c>
    </row>
    <row r="486" spans="2:16" ht="30" x14ac:dyDescent="0.25">
      <c r="B486" s="23">
        <v>286</v>
      </c>
      <c r="C486" s="24" t="s">
        <v>1050</v>
      </c>
      <c r="D486" s="25" t="s">
        <v>1051</v>
      </c>
      <c r="E486" s="25" t="s">
        <v>1052</v>
      </c>
      <c r="F486" s="26">
        <v>0.72</v>
      </c>
      <c r="G486" s="27">
        <v>2</v>
      </c>
      <c r="H486" s="40">
        <f>F486 * G486 * 613.040285</f>
        <v>882.77801039999997</v>
      </c>
      <c r="I486" s="40">
        <f>F486 * G486 * 186.070624</f>
        <v>267.94169856000002</v>
      </c>
      <c r="J486" s="40">
        <f>F486 * G486 * 0</f>
        <v>0</v>
      </c>
      <c r="K486" s="40">
        <f>F486 * G486 * 583.614351</f>
        <v>840.40466544000003</v>
      </c>
      <c r="L486" s="40">
        <f>F486 * G486 * 145.186152</f>
        <v>209.06805888</v>
      </c>
      <c r="M486" s="40">
        <f>F486 * G486 * 122.608057</f>
        <v>176.55560208</v>
      </c>
      <c r="N486" s="41">
        <f>SUM(H486:M486)</f>
        <v>2376.7480353599999</v>
      </c>
      <c r="O486" s="96">
        <f t="shared" si="164"/>
        <v>2910.6012953223867</v>
      </c>
      <c r="P486" s="30">
        <f>IF($P$10&gt;0,N486/$P$10/12,0)</f>
        <v>2.127186513586081E-2</v>
      </c>
    </row>
    <row r="487" spans="2:16" x14ac:dyDescent="0.25">
      <c r="B487" s="32"/>
      <c r="C487" s="33" t="s">
        <v>1053</v>
      </c>
      <c r="D487" s="106" t="s">
        <v>1054</v>
      </c>
      <c r="E487" s="106"/>
      <c r="F487" s="106"/>
      <c r="G487" s="106"/>
      <c r="H487" s="106"/>
      <c r="I487" s="106"/>
      <c r="J487" s="106"/>
      <c r="K487" s="106"/>
      <c r="L487" s="106"/>
      <c r="M487" s="106"/>
      <c r="N487" s="106"/>
      <c r="O487" s="106"/>
      <c r="P487" s="106"/>
    </row>
    <row r="488" spans="2:16" ht="30" x14ac:dyDescent="0.25">
      <c r="B488" s="23">
        <v>287</v>
      </c>
      <c r="C488" s="24" t="s">
        <v>1055</v>
      </c>
      <c r="D488" s="25" t="s">
        <v>1056</v>
      </c>
      <c r="E488" s="25" t="s">
        <v>1057</v>
      </c>
      <c r="F488" s="26">
        <v>0.15</v>
      </c>
      <c r="G488" s="27">
        <v>2</v>
      </c>
      <c r="H488" s="40">
        <f>F488 * G488 * 195.257906</f>
        <v>58.577371799999995</v>
      </c>
      <c r="I488" s="40">
        <f>F488 * G488 * 58.58163</f>
        <v>17.574489</v>
      </c>
      <c r="J488" s="40">
        <f>F488 * G488 * 0</f>
        <v>0</v>
      </c>
      <c r="K488" s="40">
        <f>F488 * G488 * 185.885527</f>
        <v>55.765658099999996</v>
      </c>
      <c r="L488" s="40">
        <f>F488 * G488 * 46.171131</f>
        <v>13.851339300000001</v>
      </c>
      <c r="M488" s="40">
        <f>F488 * G488 * 39.051581</f>
        <v>11.715474299999999</v>
      </c>
      <c r="N488" s="41">
        <f>SUM(H488:M488)</f>
        <v>157.48433250000002</v>
      </c>
      <c r="O488" s="96">
        <f t="shared" ref="O488:O489" si="165">N488*1.07*1.09*1.05</f>
        <v>192.85767584448755</v>
      </c>
      <c r="P488" s="30">
        <f>IF($P$10&gt;0,N488/$P$10/12,0)</f>
        <v>1.4094828025990765E-3</v>
      </c>
    </row>
    <row r="489" spans="2:16" x14ac:dyDescent="0.25">
      <c r="B489" s="23">
        <v>288</v>
      </c>
      <c r="C489" s="24" t="s">
        <v>1058</v>
      </c>
      <c r="D489" s="25" t="s">
        <v>1059</v>
      </c>
      <c r="E489" s="25" t="s">
        <v>1060</v>
      </c>
      <c r="F489" s="26">
        <v>15.45</v>
      </c>
      <c r="G489" s="27">
        <v>1</v>
      </c>
      <c r="H489" s="40">
        <f>F489 * G489 * 192.146955</f>
        <v>2968.6704547499999</v>
      </c>
      <c r="I489" s="40">
        <f>F489 * G489 * 9.252198</f>
        <v>142.9464591</v>
      </c>
      <c r="J489" s="40">
        <f>F489 * G489 * 0</f>
        <v>0</v>
      </c>
      <c r="K489" s="40">
        <f>F489 * G489 * 182.923901</f>
        <v>2826.1742704499998</v>
      </c>
      <c r="L489" s="40">
        <f>F489 * G489 * 40.35392</f>
        <v>623.46806400000003</v>
      </c>
      <c r="M489" s="40">
        <f>F489 * G489 * 38.429391</f>
        <v>593.73409095</v>
      </c>
      <c r="N489" s="41">
        <f>SUM(H489:M489)</f>
        <v>7154.9933392499997</v>
      </c>
      <c r="O489" s="96">
        <f t="shared" si="165"/>
        <v>8762.1121681456407</v>
      </c>
      <c r="P489" s="30">
        <f>IF($P$10&gt;0,N489/$P$10/12,0)</f>
        <v>6.4037100734346472E-2</v>
      </c>
    </row>
    <row r="490" spans="2:16" ht="13.9" customHeight="1" x14ac:dyDescent="0.25">
      <c r="B490" s="109" t="s">
        <v>387</v>
      </c>
      <c r="C490" s="109"/>
      <c r="D490" s="109"/>
      <c r="E490" s="109"/>
      <c r="F490" s="109"/>
      <c r="G490" s="109"/>
      <c r="H490" s="42">
        <f t="shared" ref="H490:P490" si="166">SUM(H472:H489)</f>
        <v>531824.37983882998</v>
      </c>
      <c r="I490" s="42">
        <f t="shared" si="166"/>
        <v>28979.053130959997</v>
      </c>
      <c r="J490" s="42">
        <f t="shared" si="166"/>
        <v>0</v>
      </c>
      <c r="K490" s="42">
        <f t="shared" si="166"/>
        <v>506296.81018733006</v>
      </c>
      <c r="L490" s="42">
        <f t="shared" si="166"/>
        <v>112045.52469406002</v>
      </c>
      <c r="M490" s="42">
        <f t="shared" si="166"/>
        <v>106364.87639414</v>
      </c>
      <c r="N490" s="42">
        <f t="shared" si="166"/>
        <v>1285510.64424532</v>
      </c>
      <c r="O490" s="42">
        <f t="shared" si="166"/>
        <v>1574255.6176024831</v>
      </c>
      <c r="P490" s="37">
        <f t="shared" si="166"/>
        <v>11.505304158569793</v>
      </c>
    </row>
    <row r="491" spans="2:16" x14ac:dyDescent="0.25">
      <c r="B491" s="102" t="s">
        <v>1061</v>
      </c>
      <c r="C491" s="102"/>
      <c r="D491" s="102"/>
      <c r="E491" s="102"/>
      <c r="F491" s="102"/>
      <c r="G491" s="102"/>
      <c r="H491" s="102"/>
      <c r="I491" s="102"/>
      <c r="J491" s="102"/>
      <c r="K491" s="102"/>
      <c r="L491" s="102"/>
      <c r="M491" s="112"/>
      <c r="N491" s="112"/>
      <c r="O491" s="94"/>
      <c r="P491" s="38"/>
    </row>
    <row r="492" spans="2:16" x14ac:dyDescent="0.25">
      <c r="B492" s="102"/>
      <c r="C492" s="102"/>
      <c r="D492" s="102"/>
      <c r="E492" s="102"/>
      <c r="F492" s="102"/>
      <c r="G492" s="102"/>
      <c r="H492" s="102"/>
      <c r="I492" s="102"/>
      <c r="J492" s="102"/>
      <c r="K492" s="102"/>
      <c r="L492" s="102"/>
      <c r="M492" s="113"/>
      <c r="N492" s="113"/>
      <c r="O492" s="95"/>
      <c r="P492" s="39"/>
    </row>
    <row r="493" spans="2:16" ht="13.9" customHeight="1" x14ac:dyDescent="0.25">
      <c r="B493" s="21"/>
      <c r="C493" s="22" t="s">
        <v>365</v>
      </c>
      <c r="D493" s="105" t="s">
        <v>1062</v>
      </c>
      <c r="E493" s="105"/>
      <c r="F493" s="105"/>
      <c r="G493" s="105"/>
      <c r="H493" s="105"/>
      <c r="I493" s="105"/>
      <c r="J493" s="105"/>
      <c r="K493" s="105"/>
      <c r="L493" s="105"/>
      <c r="M493" s="105"/>
      <c r="N493" s="105"/>
      <c r="O493" s="105"/>
      <c r="P493" s="105"/>
    </row>
    <row r="494" spans="2:16" x14ac:dyDescent="0.25">
      <c r="B494" s="32"/>
      <c r="C494" s="33" t="s">
        <v>1063</v>
      </c>
      <c r="D494" s="106" t="s">
        <v>1064</v>
      </c>
      <c r="E494" s="106"/>
      <c r="F494" s="106"/>
      <c r="G494" s="106"/>
      <c r="H494" s="106"/>
      <c r="I494" s="106"/>
      <c r="J494" s="106"/>
      <c r="K494" s="106"/>
      <c r="L494" s="106"/>
      <c r="M494" s="106"/>
      <c r="N494" s="106"/>
      <c r="O494" s="106"/>
      <c r="P494" s="106"/>
    </row>
    <row r="495" spans="2:16" ht="30" x14ac:dyDescent="0.25">
      <c r="B495" s="23">
        <v>289</v>
      </c>
      <c r="C495" s="24" t="s">
        <v>1065</v>
      </c>
      <c r="D495" s="25" t="s">
        <v>1066</v>
      </c>
      <c r="E495" s="25" t="s">
        <v>1067</v>
      </c>
      <c r="F495" s="26">
        <v>0.43</v>
      </c>
      <c r="G495" s="27">
        <v>72</v>
      </c>
      <c r="H495" s="40">
        <f>F495 * G495 * 226.678018</f>
        <v>7017.9514372800004</v>
      </c>
      <c r="I495" s="40">
        <f>F495 * G495 * 1.65976</f>
        <v>51.386169599999995</v>
      </c>
      <c r="J495" s="40">
        <f>F495 * G495 * 0</f>
        <v>0</v>
      </c>
      <c r="K495" s="40">
        <f>F495 * G495 * 215.797473</f>
        <v>6681.0897640800004</v>
      </c>
      <c r="L495" s="40">
        <f>F495 * G495 * 46.634201</f>
        <v>1443.79486296</v>
      </c>
      <c r="M495" s="40">
        <f>F495 * G495 * 45.335604</f>
        <v>1403.5902998399999</v>
      </c>
      <c r="N495" s="41">
        <f>SUM(H495:M495)</f>
        <v>16597.812533760003</v>
      </c>
      <c r="O495" s="96">
        <f t="shared" ref="O495" si="167">N495*1.07*1.09*1.05</f>
        <v>20325.930196030513</v>
      </c>
      <c r="P495" s="30">
        <f>IF($P$10&gt;0,N495/$P$10/12,0)</f>
        <v>0.14855021420685213</v>
      </c>
    </row>
    <row r="496" spans="2:16" x14ac:dyDescent="0.25">
      <c r="B496" s="32"/>
      <c r="C496" s="33" t="s">
        <v>1068</v>
      </c>
      <c r="D496" s="106" t="s">
        <v>1069</v>
      </c>
      <c r="E496" s="106"/>
      <c r="F496" s="106"/>
      <c r="G496" s="106"/>
      <c r="H496" s="106"/>
      <c r="I496" s="106"/>
      <c r="J496" s="106"/>
      <c r="K496" s="106"/>
      <c r="L496" s="106"/>
      <c r="M496" s="106"/>
      <c r="N496" s="106"/>
      <c r="O496" s="106"/>
      <c r="P496" s="106"/>
    </row>
    <row r="497" spans="2:16" x14ac:dyDescent="0.25">
      <c r="B497" s="32"/>
      <c r="C497" s="33" t="s">
        <v>1070</v>
      </c>
      <c r="D497" s="108" t="s">
        <v>1071</v>
      </c>
      <c r="E497" s="108"/>
      <c r="F497" s="108"/>
      <c r="G497" s="108"/>
      <c r="H497" s="108"/>
      <c r="I497" s="108"/>
      <c r="J497" s="108"/>
      <c r="K497" s="108"/>
      <c r="L497" s="108"/>
      <c r="M497" s="108"/>
      <c r="N497" s="108"/>
      <c r="O497" s="108"/>
      <c r="P497" s="108"/>
    </row>
    <row r="498" spans="2:16" ht="30" x14ac:dyDescent="0.25">
      <c r="B498" s="23">
        <v>290</v>
      </c>
      <c r="C498" s="24" t="s">
        <v>1072</v>
      </c>
      <c r="D498" s="25" t="s">
        <v>1073</v>
      </c>
      <c r="E498" s="25" t="s">
        <v>1074</v>
      </c>
      <c r="F498" s="26">
        <v>3.5000000000000003E-2</v>
      </c>
      <c r="G498" s="27">
        <v>14</v>
      </c>
      <c r="H498" s="40">
        <f>F498 * G498 * 198840.934782</f>
        <v>97432.058043180004</v>
      </c>
      <c r="I498" s="40">
        <f>F498 * G498 * 1427.858195</f>
        <v>699.65051555000002</v>
      </c>
      <c r="J498" s="40">
        <f>F498 * G498 * 0</f>
        <v>0</v>
      </c>
      <c r="K498" s="40">
        <f>F498 * G498 * 189296.569912</f>
        <v>92755.319256880015</v>
      </c>
      <c r="L498" s="40">
        <f>F498 * G498 * 40904.363103</f>
        <v>20043.137920470002</v>
      </c>
      <c r="M498" s="40">
        <f>F498 * G498 * 39768.186956</f>
        <v>19486.411608440001</v>
      </c>
      <c r="N498" s="41">
        <f>SUM(H498:M498)</f>
        <v>230416.57734452002</v>
      </c>
      <c r="O498" s="96">
        <f t="shared" ref="O498:O500" si="168">N498*1.07*1.09*1.05</f>
        <v>282171.59686475946</v>
      </c>
      <c r="P498" s="30">
        <f>IF($P$10&gt;0,N498/$P$10/12,0)</f>
        <v>2.0622254801177822</v>
      </c>
    </row>
    <row r="499" spans="2:16" x14ac:dyDescent="0.25">
      <c r="B499" s="23">
        <v>291</v>
      </c>
      <c r="C499" s="24" t="s">
        <v>1075</v>
      </c>
      <c r="D499" s="25" t="s">
        <v>1076</v>
      </c>
      <c r="E499" s="25" t="s">
        <v>1077</v>
      </c>
      <c r="F499" s="26">
        <v>3.5000000000000003E-2</v>
      </c>
      <c r="G499" s="27">
        <v>4</v>
      </c>
      <c r="H499" s="40">
        <f>F499 * G499 * 17043.46</f>
        <v>2386.0844000000002</v>
      </c>
      <c r="I499" s="40">
        <f>F499 * G499 * 0</f>
        <v>0</v>
      </c>
      <c r="J499" s="40">
        <f>F499 * G499 * 0</f>
        <v>0</v>
      </c>
      <c r="K499" s="40">
        <f>F499 * G499 * 16225.37392</f>
        <v>2271.5523488000003</v>
      </c>
      <c r="L499" s="40">
        <f>F499 * G499 * 3493.227562</f>
        <v>489.05185868000007</v>
      </c>
      <c r="M499" s="40">
        <f>F499 * G499 * 3408.692</f>
        <v>477.21688000000006</v>
      </c>
      <c r="N499" s="41">
        <f>SUM(H499:M499)</f>
        <v>5623.9054874800004</v>
      </c>
      <c r="O499" s="96">
        <f t="shared" si="168"/>
        <v>6887.119018550321</v>
      </c>
      <c r="P499" s="30">
        <f>IF($P$10&gt;0,N499/$P$10/12,0)</f>
        <v>5.0333883645508899E-2</v>
      </c>
    </row>
    <row r="500" spans="2:16" x14ac:dyDescent="0.25">
      <c r="B500" s="23">
        <v>292</v>
      </c>
      <c r="C500" s="24" t="s">
        <v>1078</v>
      </c>
      <c r="D500" s="25" t="s">
        <v>1079</v>
      </c>
      <c r="E500" s="25" t="s">
        <v>1080</v>
      </c>
      <c r="F500" s="26">
        <v>35.51</v>
      </c>
      <c r="G500" s="27">
        <v>4</v>
      </c>
      <c r="H500" s="40">
        <f>F500 * G500 * 179.337158</f>
        <v>25473.049922319999</v>
      </c>
      <c r="I500" s="40">
        <f>F500 * G500 * 39.834236</f>
        <v>5658.054881439999</v>
      </c>
      <c r="J500" s="40">
        <f>F500 * G500 * 60.102</f>
        <v>8536.8880799999988</v>
      </c>
      <c r="K500" s="40">
        <f>F500 * G500 * 170.728975</f>
        <v>24250.343608999996</v>
      </c>
      <c r="L500" s="40">
        <f>F500 * G500 * 47.250249</f>
        <v>6711.4253679599988</v>
      </c>
      <c r="M500" s="40">
        <f>F500 * G500 * 35.867432</f>
        <v>5094.6100412799997</v>
      </c>
      <c r="N500" s="41">
        <f>SUM(H500:M500)</f>
        <v>75724.371901999984</v>
      </c>
      <c r="O500" s="96">
        <f t="shared" si="168"/>
        <v>92733.201696767719</v>
      </c>
      <c r="P500" s="30">
        <f>IF($P$10&gt;0,N500/$P$10/12,0)</f>
        <v>0.67773217969784827</v>
      </c>
    </row>
    <row r="501" spans="2:16" x14ac:dyDescent="0.25">
      <c r="B501" s="32"/>
      <c r="C501" s="33" t="s">
        <v>1081</v>
      </c>
      <c r="D501" s="108" t="s">
        <v>1082</v>
      </c>
      <c r="E501" s="108"/>
      <c r="F501" s="108"/>
      <c r="G501" s="108"/>
      <c r="H501" s="108"/>
      <c r="I501" s="108"/>
      <c r="J501" s="108"/>
      <c r="K501" s="108"/>
      <c r="L501" s="108"/>
      <c r="M501" s="108"/>
      <c r="N501" s="108"/>
      <c r="O501" s="108"/>
      <c r="P501" s="108"/>
    </row>
    <row r="502" spans="2:16" x14ac:dyDescent="0.25">
      <c r="B502" s="23">
        <v>293</v>
      </c>
      <c r="C502" s="24" t="s">
        <v>1083</v>
      </c>
      <c r="D502" s="25" t="s">
        <v>1084</v>
      </c>
      <c r="E502" s="25" t="s">
        <v>1085</v>
      </c>
      <c r="F502" s="26">
        <v>0.03</v>
      </c>
      <c r="G502" s="27">
        <v>96</v>
      </c>
      <c r="H502" s="40">
        <f>F502 * G502 * 410.747386</f>
        <v>1182.9524716799999</v>
      </c>
      <c r="I502" s="40">
        <f>F502 * G502 * 663.903936</f>
        <v>1912.0433356800002</v>
      </c>
      <c r="J502" s="40">
        <f>F502 * G502 * 0</f>
        <v>0</v>
      </c>
      <c r="K502" s="40">
        <f>F502 * G502 * 391.031512</f>
        <v>1126.17075456</v>
      </c>
      <c r="L502" s="40">
        <f>F502 * G502 * 153.896697</f>
        <v>443.22248735999995</v>
      </c>
      <c r="M502" s="40">
        <f>F502 * G502 * 82.149477</f>
        <v>236.59049376000002</v>
      </c>
      <c r="N502" s="41">
        <f>SUM(H502:M502)</f>
        <v>4900.97954304</v>
      </c>
      <c r="O502" s="96">
        <f t="shared" ref="O502" si="169">N502*1.07*1.09*1.05</f>
        <v>6001.8130630999294</v>
      </c>
      <c r="P502" s="30">
        <f>IF($P$10&gt;0,N502/$P$10/12,0)</f>
        <v>4.3863705501020304E-2</v>
      </c>
    </row>
    <row r="503" spans="2:16" x14ac:dyDescent="0.25">
      <c r="B503" s="32"/>
      <c r="C503" s="33" t="s">
        <v>1086</v>
      </c>
      <c r="D503" s="106" t="s">
        <v>1087</v>
      </c>
      <c r="E503" s="106"/>
      <c r="F503" s="106"/>
      <c r="G503" s="106"/>
      <c r="H503" s="106"/>
      <c r="I503" s="106"/>
      <c r="J503" s="106"/>
      <c r="K503" s="106"/>
      <c r="L503" s="106"/>
      <c r="M503" s="106"/>
      <c r="N503" s="106"/>
      <c r="O503" s="106"/>
      <c r="P503" s="106"/>
    </row>
    <row r="504" spans="2:16" ht="45" x14ac:dyDescent="0.25">
      <c r="B504" s="23">
        <v>294</v>
      </c>
      <c r="C504" s="24" t="s">
        <v>1088</v>
      </c>
      <c r="D504" s="25" t="s">
        <v>1089</v>
      </c>
      <c r="E504" s="25" t="s">
        <v>1090</v>
      </c>
      <c r="F504" s="26">
        <v>4.2999999999999997E-2</v>
      </c>
      <c r="G504" s="27">
        <v>30</v>
      </c>
      <c r="H504" s="40">
        <f>F504 * G504 * 17328.085782</f>
        <v>22353.230658779994</v>
      </c>
      <c r="I504" s="40">
        <f>F504 * G504 * 0</f>
        <v>0</v>
      </c>
      <c r="J504" s="40">
        <f>F504 * G504 * 0</f>
        <v>0</v>
      </c>
      <c r="K504" s="40">
        <f>F504 * G504 * 16496.337664</f>
        <v>21280.275586559994</v>
      </c>
      <c r="L504" s="40">
        <f>F504 * G504 * 3551.564462</f>
        <v>4581.5181559799994</v>
      </c>
      <c r="M504" s="40">
        <f>F504 * G504 * 3465.617156</f>
        <v>4470.6461312399988</v>
      </c>
      <c r="N504" s="41">
        <f>SUM(H504:M504)</f>
        <v>52685.670532559983</v>
      </c>
      <c r="O504" s="96">
        <f t="shared" ref="O504:O507" si="170">N504*1.07*1.09*1.05</f>
        <v>64519.662419230954</v>
      </c>
      <c r="P504" s="30">
        <f>IF($P$10&gt;0,N504/$P$10/12,0)</f>
        <v>0.47153609111588429</v>
      </c>
    </row>
    <row r="505" spans="2:16" ht="30" x14ac:dyDescent="0.25">
      <c r="B505" s="23"/>
      <c r="C505" s="24"/>
      <c r="D505" s="43" t="s">
        <v>1141</v>
      </c>
      <c r="E505" s="43" t="s">
        <v>383</v>
      </c>
      <c r="F505" s="98">
        <v>13</v>
      </c>
      <c r="G505" s="99">
        <v>3</v>
      </c>
      <c r="H505" s="100">
        <f>651.54336*F505*G505</f>
        <v>25410.191039999998</v>
      </c>
      <c r="I505" s="100">
        <f>0*F505*G505</f>
        <v>0</v>
      </c>
      <c r="J505" s="100">
        <f>0*F505*G505</f>
        <v>0</v>
      </c>
      <c r="K505" s="100">
        <f>620.26927872*F505*G505</f>
        <v>24190.501870079999</v>
      </c>
      <c r="L505" s="100">
        <f>133.5403270656*F505*G505</f>
        <v>5208.0727555583999</v>
      </c>
      <c r="M505" s="100">
        <f>130.308672*F505*G505</f>
        <v>5082.0382079999999</v>
      </c>
      <c r="N505" s="96">
        <f t="shared" ref="N505:N506" si="171">SUM(H505:M505)</f>
        <v>59890.803873638397</v>
      </c>
      <c r="O505" s="96">
        <f t="shared" si="170"/>
        <v>73343.176785715696</v>
      </c>
      <c r="P505" s="30">
        <f t="shared" ref="P505:P507" si="172">IF($P$9&gt;0,O505/$P$9/12,0)</f>
        <v>0.13262300963024068</v>
      </c>
    </row>
    <row r="506" spans="2:16" ht="30" x14ac:dyDescent="0.25">
      <c r="B506" s="23"/>
      <c r="C506" s="24"/>
      <c r="D506" s="43" t="s">
        <v>1142</v>
      </c>
      <c r="E506" s="43" t="s">
        <v>1096</v>
      </c>
      <c r="F506" s="98">
        <f>1300*0.2</f>
        <v>260</v>
      </c>
      <c r="G506" s="99">
        <v>3</v>
      </c>
      <c r="H506" s="100">
        <f>0*F506*G506</f>
        <v>0</v>
      </c>
      <c r="I506" s="100">
        <f>0*F506*G506</f>
        <v>0</v>
      </c>
      <c r="J506" s="100">
        <f>3.628385278*F506*G506</f>
        <v>2830.1405168400001</v>
      </c>
      <c r="K506" s="100">
        <f>1.33187716928*F506*G506</f>
        <v>1038.8641920384</v>
      </c>
      <c r="L506" s="100">
        <f>0.5208275569644*F506*G506</f>
        <v>406.24549443223196</v>
      </c>
      <c r="M506" s="100">
        <f>0.279806128*F506*G506</f>
        <v>218.24877984</v>
      </c>
      <c r="N506" s="96">
        <f t="shared" si="171"/>
        <v>4493.4989831506318</v>
      </c>
      <c r="O506" s="96">
        <f t="shared" si="170"/>
        <v>5502.8062572510125</v>
      </c>
      <c r="P506" s="30">
        <f>IF($P$9&gt;0,O506/$P$9/12,0)</f>
        <v>9.9504651861614633E-3</v>
      </c>
    </row>
    <row r="507" spans="2:16" x14ac:dyDescent="0.25">
      <c r="B507" s="23"/>
      <c r="C507" s="24"/>
      <c r="D507" s="43" t="s">
        <v>1097</v>
      </c>
      <c r="E507" s="43" t="s">
        <v>146</v>
      </c>
      <c r="F507" s="98">
        <v>1300</v>
      </c>
      <c r="G507" s="99">
        <v>3</v>
      </c>
      <c r="H507" s="100"/>
      <c r="I507" s="100"/>
      <c r="J507" s="100"/>
      <c r="K507" s="100"/>
      <c r="L507" s="100"/>
      <c r="M507" s="100"/>
      <c r="N507" s="96">
        <f>F507*0.2*G507*375</f>
        <v>292500</v>
      </c>
      <c r="O507" s="96">
        <f t="shared" si="170"/>
        <v>358199.88750000001</v>
      </c>
      <c r="P507" s="30">
        <f t="shared" si="172"/>
        <v>0.6477159732016925</v>
      </c>
    </row>
    <row r="508" spans="2:16" x14ac:dyDescent="0.25">
      <c r="B508" s="32"/>
      <c r="C508" s="33" t="s">
        <v>1091</v>
      </c>
      <c r="D508" s="106" t="s">
        <v>1092</v>
      </c>
      <c r="E508" s="106"/>
      <c r="F508" s="106"/>
      <c r="G508" s="106"/>
      <c r="H508" s="106"/>
      <c r="I508" s="106"/>
      <c r="J508" s="106"/>
      <c r="K508" s="106"/>
      <c r="L508" s="106"/>
      <c r="M508" s="106"/>
      <c r="N508" s="106"/>
      <c r="O508" s="106"/>
      <c r="P508" s="106"/>
    </row>
    <row r="509" spans="2:16" x14ac:dyDescent="0.25">
      <c r="B509" s="23">
        <v>295</v>
      </c>
      <c r="C509" s="24" t="s">
        <v>1093</v>
      </c>
      <c r="D509" s="25" t="s">
        <v>1094</v>
      </c>
      <c r="E509" s="25" t="s">
        <v>119</v>
      </c>
      <c r="F509" s="26">
        <v>4.3099999999999996</v>
      </c>
      <c r="G509" s="27">
        <v>30</v>
      </c>
      <c r="H509" s="40">
        <f>F509 * G509 * 36.813874</f>
        <v>4760.0339081999991</v>
      </c>
      <c r="I509" s="40">
        <f>F509 * G509 * 79.313674</f>
        <v>10255.258048199999</v>
      </c>
      <c r="J509" s="40">
        <f>F509 * G509 * 0</f>
        <v>0</v>
      </c>
      <c r="K509" s="40">
        <f>F509 * G509 * 35.046808</f>
        <v>4531.5522743999991</v>
      </c>
      <c r="L509" s="40">
        <f>F509 * G509 * 15.873308</f>
        <v>2052.4187243999995</v>
      </c>
      <c r="M509" s="40">
        <f>F509 * G509 * 7.362775</f>
        <v>952.00680749999992</v>
      </c>
      <c r="N509" s="41">
        <f>SUM(H509:M509)</f>
        <v>22551.269762699994</v>
      </c>
      <c r="O509" s="96">
        <f t="shared" ref="O509:O512" si="173">N509*1.07*1.09*1.05</f>
        <v>27616.623220448859</v>
      </c>
      <c r="P509" s="30">
        <f>IF($P$10&gt;0,N509/$P$10/12,0)</f>
        <v>0.20183358180915043</v>
      </c>
    </row>
    <row r="510" spans="2:16" ht="30" x14ac:dyDescent="0.25">
      <c r="B510" s="23">
        <v>296</v>
      </c>
      <c r="C510" s="24"/>
      <c r="D510" s="25" t="s">
        <v>1095</v>
      </c>
      <c r="E510" s="25" t="s">
        <v>1096</v>
      </c>
      <c r="F510" s="26">
        <f>431.4*0.2</f>
        <v>86.28</v>
      </c>
      <c r="G510" s="27">
        <v>3</v>
      </c>
      <c r="H510" s="28">
        <f>F510 * G510 * 0</f>
        <v>0</v>
      </c>
      <c r="I510" s="28">
        <f>F510 * G510 * 0</f>
        <v>0</v>
      </c>
      <c r="J510" s="28"/>
      <c r="K510" s="28"/>
      <c r="L510" s="28"/>
      <c r="M510" s="28"/>
      <c r="N510" s="29">
        <f>F510*125*G510</f>
        <v>32355</v>
      </c>
      <c r="O510" s="92">
        <f t="shared" si="173"/>
        <v>39622.418324999999</v>
      </c>
      <c r="P510" s="30">
        <f>IF($P$10&gt;0,N510/$P$10/12,0)</f>
        <v>0.28957684459241756</v>
      </c>
    </row>
    <row r="511" spans="2:16" x14ac:dyDescent="0.25">
      <c r="B511" s="23">
        <v>297</v>
      </c>
      <c r="C511" s="24"/>
      <c r="D511" s="43" t="s">
        <v>1097</v>
      </c>
      <c r="E511" s="43" t="s">
        <v>146</v>
      </c>
      <c r="F511" s="34">
        <v>431.4</v>
      </c>
      <c r="G511" s="44">
        <v>3</v>
      </c>
      <c r="H511" s="45"/>
      <c r="I511" s="45"/>
      <c r="J511" s="45"/>
      <c r="K511" s="45"/>
      <c r="L511" s="45"/>
      <c r="M511" s="45"/>
      <c r="N511" s="46">
        <f>F511*0.2*G511*275</f>
        <v>71181.000000000015</v>
      </c>
      <c r="O511" s="97">
        <f t="shared" si="173"/>
        <v>87169.320315000034</v>
      </c>
      <c r="P511" s="30">
        <f>IF($P$10&gt;0,N511/$P$10/12,0)</f>
        <v>0.63706905810331882</v>
      </c>
    </row>
    <row r="512" spans="2:16" x14ac:dyDescent="0.25">
      <c r="B512" s="23">
        <v>298</v>
      </c>
      <c r="C512" s="24"/>
      <c r="D512" s="43" t="s">
        <v>1098</v>
      </c>
      <c r="E512" s="25" t="s">
        <v>1096</v>
      </c>
      <c r="F512" s="26">
        <f>431.4*0.2</f>
        <v>86.28</v>
      </c>
      <c r="G512" s="44">
        <v>3</v>
      </c>
      <c r="H512" s="45"/>
      <c r="I512" s="45"/>
      <c r="J512" s="45"/>
      <c r="K512" s="45"/>
      <c r="L512" s="45"/>
      <c r="M512" s="45"/>
      <c r="N512" s="29">
        <f>F512*200*G512</f>
        <v>51768</v>
      </c>
      <c r="O512" s="92">
        <f t="shared" si="173"/>
        <v>63395.869320000013</v>
      </c>
      <c r="P512" s="30">
        <f>IF($P$10&gt;0,N512/$P$10/12,0)</f>
        <v>0.46332295134786811</v>
      </c>
    </row>
    <row r="513" spans="2:16" ht="13.9" customHeight="1" x14ac:dyDescent="0.25">
      <c r="B513" s="109" t="s">
        <v>387</v>
      </c>
      <c r="C513" s="109"/>
      <c r="D513" s="109"/>
      <c r="E513" s="109"/>
      <c r="F513" s="109"/>
      <c r="G513" s="109"/>
      <c r="H513" s="42">
        <f t="shared" ref="H513:O513" si="174">SUM(H493:H509)</f>
        <v>186015.55188144004</v>
      </c>
      <c r="I513" s="42">
        <f t="shared" si="174"/>
        <v>18576.392950469999</v>
      </c>
      <c r="J513" s="42">
        <f t="shared" si="174"/>
        <v>11367.028596839998</v>
      </c>
      <c r="K513" s="42">
        <f t="shared" si="174"/>
        <v>178125.66965639842</v>
      </c>
      <c r="L513" s="42">
        <f t="shared" si="174"/>
        <v>41378.887627800628</v>
      </c>
      <c r="M513" s="42">
        <f t="shared" si="174"/>
        <v>37421.359249900008</v>
      </c>
      <c r="N513" s="42">
        <f t="shared" si="174"/>
        <v>765384.88996284897</v>
      </c>
      <c r="O513" s="42">
        <f t="shared" si="174"/>
        <v>937301.81702185445</v>
      </c>
      <c r="P513" s="37">
        <f>SUM(P493:P512)</f>
        <v>5.8363334381557461</v>
      </c>
    </row>
    <row r="514" spans="2:16" x14ac:dyDescent="0.25">
      <c r="B514" s="102" t="s">
        <v>1099</v>
      </c>
      <c r="C514" s="102"/>
      <c r="D514" s="102"/>
      <c r="E514" s="102"/>
      <c r="F514" s="102"/>
      <c r="G514" s="102"/>
      <c r="H514" s="102"/>
      <c r="I514" s="102"/>
      <c r="J514" s="102"/>
      <c r="K514" s="102"/>
      <c r="L514" s="102"/>
      <c r="M514" s="112"/>
      <c r="N514" s="112"/>
      <c r="O514" s="94"/>
      <c r="P514" s="38"/>
    </row>
    <row r="515" spans="2:16" x14ac:dyDescent="0.25">
      <c r="B515" s="102"/>
      <c r="C515" s="102"/>
      <c r="D515" s="102"/>
      <c r="E515" s="102"/>
      <c r="F515" s="102"/>
      <c r="G515" s="102"/>
      <c r="H515" s="102"/>
      <c r="I515" s="102"/>
      <c r="J515" s="102"/>
      <c r="K515" s="102"/>
      <c r="L515" s="102"/>
      <c r="M515" s="113"/>
      <c r="N515" s="113"/>
      <c r="O515" s="95"/>
      <c r="P515" s="39"/>
    </row>
    <row r="516" spans="2:16" ht="13.9" customHeight="1" x14ac:dyDescent="0.25">
      <c r="B516" s="21"/>
      <c r="C516" s="22" t="s">
        <v>1018</v>
      </c>
      <c r="D516" s="105" t="s">
        <v>1019</v>
      </c>
      <c r="E516" s="105"/>
      <c r="F516" s="105"/>
      <c r="G516" s="105"/>
      <c r="H516" s="105"/>
      <c r="I516" s="105"/>
      <c r="J516" s="105"/>
      <c r="K516" s="105"/>
      <c r="L516" s="105"/>
      <c r="M516" s="105"/>
      <c r="N516" s="105"/>
      <c r="O516" s="105"/>
      <c r="P516" s="105"/>
    </row>
    <row r="517" spans="2:16" x14ac:dyDescent="0.25">
      <c r="B517" s="32"/>
      <c r="C517" s="33" t="s">
        <v>1100</v>
      </c>
      <c r="D517" s="106" t="s">
        <v>1101</v>
      </c>
      <c r="E517" s="106"/>
      <c r="F517" s="106"/>
      <c r="G517" s="106"/>
      <c r="H517" s="106"/>
      <c r="I517" s="106"/>
      <c r="J517" s="106"/>
      <c r="K517" s="106"/>
      <c r="L517" s="106"/>
      <c r="M517" s="106"/>
      <c r="N517" s="106"/>
      <c r="O517" s="106"/>
      <c r="P517" s="106"/>
    </row>
    <row r="518" spans="2:16" x14ac:dyDescent="0.25">
      <c r="B518" s="32"/>
      <c r="C518" s="33" t="s">
        <v>1102</v>
      </c>
      <c r="D518" s="108" t="s">
        <v>1103</v>
      </c>
      <c r="E518" s="108"/>
      <c r="F518" s="108"/>
      <c r="G518" s="108"/>
      <c r="H518" s="108"/>
      <c r="I518" s="108"/>
      <c r="J518" s="108"/>
      <c r="K518" s="108"/>
      <c r="L518" s="108"/>
      <c r="M518" s="108"/>
      <c r="N518" s="108"/>
      <c r="O518" s="108"/>
      <c r="P518" s="108"/>
    </row>
    <row r="519" spans="2:16" x14ac:dyDescent="0.25">
      <c r="B519" s="23">
        <v>299</v>
      </c>
      <c r="C519" s="24" t="s">
        <v>1104</v>
      </c>
      <c r="D519" s="25" t="s">
        <v>1105</v>
      </c>
      <c r="E519" s="25" t="s">
        <v>1106</v>
      </c>
      <c r="F519" s="26">
        <v>0.1</v>
      </c>
      <c r="G519" s="27">
        <v>6</v>
      </c>
      <c r="H519" s="40">
        <f>F519 * G519 * 165.031823</f>
        <v>99.019093800000022</v>
      </c>
      <c r="I519" s="40">
        <f>F519 * G519 * 1137.00312</f>
        <v>682.20187200000009</v>
      </c>
      <c r="J519" s="40">
        <f>F519 * G519 * 0</f>
        <v>0</v>
      </c>
      <c r="K519" s="40">
        <f>F519 * G519 * 157.110296</f>
        <v>94.26617760000002</v>
      </c>
      <c r="L519" s="40">
        <f>F519 * G519 * 153.21025</f>
        <v>91.926150000000021</v>
      </c>
      <c r="M519" s="40">
        <f>F519 * G519 * 33.006365</f>
        <v>19.803819000000004</v>
      </c>
      <c r="N519" s="41">
        <f>SUM(H519:M519)</f>
        <v>987.21711240000013</v>
      </c>
      <c r="O519" s="96">
        <f t="shared" ref="O519" si="175">N519*1.07*1.09*1.05</f>
        <v>1208.9608841017264</v>
      </c>
      <c r="P519" s="30">
        <f>IF($P$10&gt;0,N519/$P$10/12,0)</f>
        <v>8.8355807861668998E-3</v>
      </c>
    </row>
    <row r="520" spans="2:16" ht="13.9" customHeight="1" x14ac:dyDescent="0.25">
      <c r="B520" s="21"/>
      <c r="C520" s="22" t="s">
        <v>365</v>
      </c>
      <c r="D520" s="105" t="s">
        <v>1062</v>
      </c>
      <c r="E520" s="105"/>
      <c r="F520" s="105"/>
      <c r="G520" s="105"/>
      <c r="H520" s="105"/>
      <c r="I520" s="105"/>
      <c r="J520" s="105"/>
      <c r="K520" s="105"/>
      <c r="L520" s="105"/>
      <c r="M520" s="105"/>
      <c r="N520" s="105"/>
      <c r="O520" s="105"/>
      <c r="P520" s="105"/>
    </row>
    <row r="521" spans="2:16" x14ac:dyDescent="0.25">
      <c r="B521" s="23">
        <v>300</v>
      </c>
      <c r="C521" s="24" t="s">
        <v>1107</v>
      </c>
      <c r="D521" s="25" t="s">
        <v>1108</v>
      </c>
      <c r="E521" s="25" t="s">
        <v>122</v>
      </c>
      <c r="F521" s="26">
        <v>0.2</v>
      </c>
      <c r="G521" s="27">
        <v>30</v>
      </c>
      <c r="H521" s="40">
        <f>F521 * G521 * 1022.6076</f>
        <v>6135.6455999999998</v>
      </c>
      <c r="I521" s="40">
        <f>F521 * G521 * 0</f>
        <v>0</v>
      </c>
      <c r="J521" s="40">
        <f>F521 * G521 * 0</f>
        <v>0</v>
      </c>
      <c r="K521" s="40">
        <f>F521 * G521 * 973.522435</f>
        <v>5841.1346100000001</v>
      </c>
      <c r="L521" s="40">
        <f>F521 * G521 * 209.593654</f>
        <v>1257.5619239999999</v>
      </c>
      <c r="M521" s="40">
        <f>F521 * G521 * 204.52152</f>
        <v>1227.1291200000001</v>
      </c>
      <c r="N521" s="41">
        <f>SUM(H521:M521)</f>
        <v>14461.471254</v>
      </c>
      <c r="O521" s="96">
        <f t="shared" ref="O521:O522" si="176">N521*1.07*1.09*1.05</f>
        <v>17709.734619717216</v>
      </c>
      <c r="P521" s="30">
        <f>IF($P$10&gt;0,N521/$P$10/12,0)</f>
        <v>0.12942998652131887</v>
      </c>
    </row>
    <row r="522" spans="2:16" x14ac:dyDescent="0.25">
      <c r="B522" s="23">
        <v>301</v>
      </c>
      <c r="C522" s="24" t="s">
        <v>1109</v>
      </c>
      <c r="D522" s="25" t="s">
        <v>1110</v>
      </c>
      <c r="E522" s="25" t="s">
        <v>1080</v>
      </c>
      <c r="F522" s="26">
        <v>0.2</v>
      </c>
      <c r="G522" s="27">
        <v>300</v>
      </c>
      <c r="H522" s="40">
        <f>F522 * G522 * 414.156078</f>
        <v>24849.364679999999</v>
      </c>
      <c r="I522" s="40">
        <f>F522 * G522 * 2.987568</f>
        <v>179.25407999999999</v>
      </c>
      <c r="J522" s="40">
        <f>F522 * G522 * 0</f>
        <v>0</v>
      </c>
      <c r="K522" s="40">
        <f>F522 * G522 * 394.276587</f>
        <v>23656.595219999999</v>
      </c>
      <c r="L522" s="40">
        <f>F522 * G522 * 85.199124</f>
        <v>5111.9474399999999</v>
      </c>
      <c r="M522" s="40">
        <f>F522 * G522 * 82.831216</f>
        <v>4969.8729599999997</v>
      </c>
      <c r="N522" s="41">
        <f>SUM(H522:M522)</f>
        <v>58767.034380000005</v>
      </c>
      <c r="O522" s="96">
        <f t="shared" si="176"/>
        <v>71966.991807263723</v>
      </c>
      <c r="P522" s="30">
        <f>IF($P$10&gt;0,N522/$P$10/12,0)</f>
        <v>0.52596422135109011</v>
      </c>
    </row>
    <row r="523" spans="2:16" ht="13.9" customHeight="1" x14ac:dyDescent="0.25">
      <c r="B523" s="109" t="s">
        <v>387</v>
      </c>
      <c r="C523" s="109"/>
      <c r="D523" s="109"/>
      <c r="E523" s="109"/>
      <c r="F523" s="109"/>
      <c r="G523" s="109"/>
      <c r="H523" s="42">
        <f t="shared" ref="H523:P523" si="177">SUM(H516:H522)</f>
        <v>31084.029373799996</v>
      </c>
      <c r="I523" s="42">
        <f t="shared" si="177"/>
        <v>861.45595200000002</v>
      </c>
      <c r="J523" s="42">
        <f t="shared" si="177"/>
        <v>0</v>
      </c>
      <c r="K523" s="42">
        <f t="shared" si="177"/>
        <v>29591.996007599999</v>
      </c>
      <c r="L523" s="42">
        <f t="shared" si="177"/>
        <v>6461.4355139999998</v>
      </c>
      <c r="M523" s="42">
        <f t="shared" si="177"/>
        <v>6216.805899</v>
      </c>
      <c r="N523" s="42">
        <f t="shared" si="177"/>
        <v>74215.722746400003</v>
      </c>
      <c r="O523" s="42">
        <f t="shared" si="177"/>
        <v>90885.687311082671</v>
      </c>
      <c r="P523" s="37">
        <f t="shared" si="177"/>
        <v>0.66422978865857585</v>
      </c>
    </row>
    <row r="524" spans="2:16" x14ac:dyDescent="0.25">
      <c r="B524" s="102" t="s">
        <v>1111</v>
      </c>
      <c r="C524" s="102"/>
      <c r="D524" s="102"/>
      <c r="E524" s="102"/>
      <c r="F524" s="102"/>
      <c r="G524" s="102"/>
      <c r="H524" s="102"/>
      <c r="I524" s="102"/>
      <c r="J524" s="102"/>
      <c r="K524" s="102"/>
      <c r="L524" s="102"/>
      <c r="M524" s="112"/>
      <c r="N524" s="112"/>
      <c r="O524" s="94"/>
      <c r="P524" s="38"/>
    </row>
    <row r="525" spans="2:16" x14ac:dyDescent="0.25">
      <c r="B525" s="102"/>
      <c r="C525" s="102"/>
      <c r="D525" s="102"/>
      <c r="E525" s="102"/>
      <c r="F525" s="102"/>
      <c r="G525" s="102"/>
      <c r="H525" s="102"/>
      <c r="I525" s="102"/>
      <c r="J525" s="102"/>
      <c r="K525" s="102"/>
      <c r="L525" s="102"/>
      <c r="M525" s="113"/>
      <c r="N525" s="113"/>
      <c r="O525" s="95"/>
      <c r="P525" s="39"/>
    </row>
    <row r="526" spans="2:16" ht="13.9" customHeight="1" x14ac:dyDescent="0.25">
      <c r="B526" s="21"/>
      <c r="C526" s="22" t="s">
        <v>1112</v>
      </c>
      <c r="D526" s="105" t="s">
        <v>1113</v>
      </c>
      <c r="E526" s="105"/>
      <c r="F526" s="105"/>
      <c r="G526" s="105"/>
      <c r="H526" s="105"/>
      <c r="I526" s="105"/>
      <c r="J526" s="105"/>
      <c r="K526" s="105"/>
      <c r="L526" s="105"/>
      <c r="M526" s="105"/>
      <c r="N526" s="105"/>
      <c r="O526" s="105"/>
      <c r="P526" s="105"/>
    </row>
    <row r="527" spans="2:16" x14ac:dyDescent="0.25">
      <c r="B527" s="32"/>
      <c r="C527" s="33" t="s">
        <v>1114</v>
      </c>
      <c r="D527" s="106" t="s">
        <v>1115</v>
      </c>
      <c r="E527" s="106"/>
      <c r="F527" s="106"/>
      <c r="G527" s="106"/>
      <c r="H527" s="106"/>
      <c r="I527" s="106"/>
      <c r="J527" s="106"/>
      <c r="K527" s="106"/>
      <c r="L527" s="106"/>
      <c r="M527" s="106"/>
      <c r="N527" s="106"/>
      <c r="O527" s="106"/>
      <c r="P527" s="106"/>
    </row>
    <row r="528" spans="2:16" ht="45" x14ac:dyDescent="0.25">
      <c r="B528" s="23">
        <v>302</v>
      </c>
      <c r="C528" s="24" t="s">
        <v>1116</v>
      </c>
      <c r="D528" s="25" t="s">
        <v>1117</v>
      </c>
      <c r="E528" s="25" t="s">
        <v>1118</v>
      </c>
      <c r="F528" s="26">
        <v>2.17</v>
      </c>
      <c r="G528" s="27">
        <v>12</v>
      </c>
      <c r="H528" s="40">
        <f>F528 * G528 * 1133.6668</f>
        <v>29520.683471999997</v>
      </c>
      <c r="I528" s="40">
        <f>F528 * G528 * 4.82112</f>
        <v>125.54196479999999</v>
      </c>
      <c r="J528" s="40">
        <f>F528 * G528 * 0</f>
        <v>0</v>
      </c>
      <c r="K528" s="40">
        <f>F528 * G528 * 1079.250794</f>
        <v>28103.690675760001</v>
      </c>
      <c r="L528" s="40">
        <f>F528 * G528 * 232.862565</f>
        <v>6063.7411925999995</v>
      </c>
      <c r="M528" s="40">
        <f>F528 * G528 * 226.73336</f>
        <v>5904.1366944000001</v>
      </c>
      <c r="N528" s="41">
        <f>SUM(H528:M528)</f>
        <v>69717.793999559988</v>
      </c>
      <c r="O528" s="96">
        <f t="shared" ref="O528:O529" si="178">N528*1.07*1.09*1.05</f>
        <v>85377.456298771169</v>
      </c>
      <c r="P528" s="30">
        <f>IF($P$10&gt;0,N528/$P$10/12,0)</f>
        <v>0.62397338273332603</v>
      </c>
    </row>
    <row r="529" spans="2:16" ht="45" x14ac:dyDescent="0.25">
      <c r="B529" s="23">
        <v>303</v>
      </c>
      <c r="C529" s="24" t="s">
        <v>1119</v>
      </c>
      <c r="D529" s="25" t="s">
        <v>1120</v>
      </c>
      <c r="E529" s="25" t="s">
        <v>1118</v>
      </c>
      <c r="F529" s="26">
        <v>1.04</v>
      </c>
      <c r="G529" s="27">
        <v>2</v>
      </c>
      <c r="H529" s="40">
        <f>F529 * G529 * 807.737595</f>
        <v>1680.0941976000001</v>
      </c>
      <c r="I529" s="40">
        <f>F529 * G529 * 535.68</f>
        <v>1114.2143999999998</v>
      </c>
      <c r="J529" s="40">
        <f>F529 * G529 * 0</f>
        <v>0</v>
      </c>
      <c r="K529" s="40">
        <f>F529 * G529 * 768.966191</f>
        <v>1599.4496772800001</v>
      </c>
      <c r="L529" s="40">
        <f>F529 * G529 * 221.800298</f>
        <v>461.34461984000001</v>
      </c>
      <c r="M529" s="40">
        <f>F529 * G529 * 161.547519</f>
        <v>336.01883951999997</v>
      </c>
      <c r="N529" s="41">
        <f>SUM(H529:M529)</f>
        <v>5191.1217342400005</v>
      </c>
      <c r="O529" s="96">
        <f t="shared" si="178"/>
        <v>6357.1255425763193</v>
      </c>
      <c r="P529" s="30">
        <f>IF($P$10&gt;0,N529/$P$10/12,0)</f>
        <v>4.6460474476783732E-2</v>
      </c>
    </row>
    <row r="530" spans="2:16" ht="13.9" customHeight="1" x14ac:dyDescent="0.25">
      <c r="B530" s="109" t="s">
        <v>387</v>
      </c>
      <c r="C530" s="109"/>
      <c r="D530" s="109"/>
      <c r="E530" s="109"/>
      <c r="F530" s="109"/>
      <c r="G530" s="109"/>
      <c r="H530" s="42">
        <f t="shared" ref="H530:P530" si="179">SUM(H526:H529)</f>
        <v>31200.777669599996</v>
      </c>
      <c r="I530" s="42">
        <f t="shared" si="179"/>
        <v>1239.7563647999998</v>
      </c>
      <c r="J530" s="42">
        <f t="shared" si="179"/>
        <v>0</v>
      </c>
      <c r="K530" s="42">
        <f t="shared" si="179"/>
        <v>29703.140353040002</v>
      </c>
      <c r="L530" s="42">
        <f t="shared" si="179"/>
        <v>6525.0858124399992</v>
      </c>
      <c r="M530" s="42">
        <f t="shared" si="179"/>
        <v>6240.1555339200004</v>
      </c>
      <c r="N530" s="42">
        <f t="shared" si="179"/>
        <v>74908.915733799993</v>
      </c>
      <c r="O530" s="42">
        <f t="shared" si="179"/>
        <v>91734.581841347492</v>
      </c>
      <c r="P530" s="37">
        <f t="shared" si="179"/>
        <v>0.67043385721010973</v>
      </c>
    </row>
    <row r="531" spans="2:16" x14ac:dyDescent="0.25">
      <c r="B531" s="102" t="s">
        <v>1121</v>
      </c>
      <c r="C531" s="102"/>
      <c r="D531" s="47"/>
      <c r="E531" s="47"/>
      <c r="F531" s="47"/>
      <c r="G531" s="47"/>
      <c r="H531" s="48"/>
      <c r="I531" s="48"/>
      <c r="J531" s="48"/>
      <c r="K531" s="48"/>
      <c r="L531" s="48"/>
      <c r="M531" s="49"/>
      <c r="N531" s="49"/>
      <c r="O531" s="49"/>
      <c r="P531" s="50"/>
    </row>
    <row r="532" spans="2:16" x14ac:dyDescent="0.25">
      <c r="B532" s="21"/>
      <c r="C532" s="22"/>
      <c r="D532" s="51"/>
      <c r="E532" s="51"/>
      <c r="F532" s="51"/>
      <c r="G532" s="51"/>
      <c r="H532" s="52"/>
      <c r="I532" s="52"/>
      <c r="J532" s="52"/>
      <c r="K532" s="52"/>
      <c r="L532" s="52"/>
      <c r="M532" s="52"/>
      <c r="N532" s="52"/>
      <c r="O532" s="52"/>
      <c r="P532" s="52"/>
    </row>
    <row r="533" spans="2:16" x14ac:dyDescent="0.25">
      <c r="B533" s="23">
        <v>304</v>
      </c>
      <c r="C533" s="24"/>
      <c r="D533" s="25" t="s">
        <v>1122</v>
      </c>
      <c r="E533" s="25"/>
      <c r="F533" s="26"/>
      <c r="G533" s="53"/>
      <c r="H533" s="28">
        <f>P542*12*$P$10</f>
        <v>7821.2400000000007</v>
      </c>
      <c r="I533" s="28">
        <f>F533 * G533 * 89375.08344</f>
        <v>0</v>
      </c>
      <c r="J533" s="28">
        <f>F533 * G533 * 0</f>
        <v>0</v>
      </c>
      <c r="K533" s="28">
        <f>F533 * G533 * 538.384453</f>
        <v>0</v>
      </c>
      <c r="L533" s="28">
        <f>F533 * G533 * 9500.294767</f>
        <v>0</v>
      </c>
      <c r="M533" s="28">
        <f>F533 * G533 * 113.105978</f>
        <v>0</v>
      </c>
      <c r="N533" s="29">
        <f>SUM(H533:M533)/12</f>
        <v>651.7700000000001</v>
      </c>
      <c r="O533" s="92">
        <f t="shared" ref="O533:O535" si="180">N533*1.07*1.09*1.05</f>
        <v>798.16731855000023</v>
      </c>
      <c r="P533" s="54">
        <f>IF($P$10&gt;0,N533/$P$10,0)</f>
        <v>7.0000000000000007E-2</v>
      </c>
    </row>
    <row r="534" spans="2:16" x14ac:dyDescent="0.25">
      <c r="B534" s="23">
        <v>305</v>
      </c>
      <c r="C534" s="24"/>
      <c r="D534" s="25" t="s">
        <v>1123</v>
      </c>
      <c r="E534" s="25"/>
      <c r="F534" s="26"/>
      <c r="G534" s="53"/>
      <c r="H534" s="28">
        <f>P543*12*$P$10</f>
        <v>214525.44</v>
      </c>
      <c r="I534" s="28">
        <f>F534 * G534 * 22761.733198</f>
        <v>0</v>
      </c>
      <c r="J534" s="28">
        <f>F534 * G534 * 0</f>
        <v>0</v>
      </c>
      <c r="K534" s="28">
        <f>F534 * G534 * 14191.989123</f>
        <v>0</v>
      </c>
      <c r="L534" s="28">
        <f>F534 * G534 * 5445.433762</f>
        <v>0</v>
      </c>
      <c r="M534" s="28">
        <f>F534 * G534 * 2981.51032</f>
        <v>0</v>
      </c>
      <c r="N534" s="29">
        <f>SUM(H534:M534)/12</f>
        <v>17877.12</v>
      </c>
      <c r="O534" s="92">
        <f t="shared" si="180"/>
        <v>21892.589308800005</v>
      </c>
      <c r="P534" s="54">
        <f>IF($P$10&gt;0,N534/$P$10,0)</f>
        <v>1.92</v>
      </c>
    </row>
    <row r="535" spans="2:16" x14ac:dyDescent="0.25">
      <c r="B535" s="23">
        <v>306</v>
      </c>
      <c r="C535" s="24"/>
      <c r="D535" s="25" t="s">
        <v>1124</v>
      </c>
      <c r="E535" s="25"/>
      <c r="F535" s="26"/>
      <c r="G535" s="53"/>
      <c r="H535" s="28">
        <f>P544*12*$P$10</f>
        <v>53631.360000000001</v>
      </c>
      <c r="I535" s="28"/>
      <c r="J535" s="28"/>
      <c r="K535" s="28"/>
      <c r="L535" s="28"/>
      <c r="M535" s="28"/>
      <c r="N535" s="29">
        <f>SUM(H535:M535)/12</f>
        <v>4469.28</v>
      </c>
      <c r="O535" s="92">
        <f t="shared" si="180"/>
        <v>5473.1473272000012</v>
      </c>
      <c r="P535" s="54">
        <f>IF($P$10&gt;0,N535/$P$10,0)</f>
        <v>0.48</v>
      </c>
    </row>
    <row r="536" spans="2:16" ht="13.9" customHeight="1" x14ac:dyDescent="0.25">
      <c r="B536" s="109" t="s">
        <v>387</v>
      </c>
      <c r="C536" s="109"/>
      <c r="D536" s="55"/>
      <c r="E536" s="55"/>
      <c r="F536" s="55"/>
      <c r="G536" s="55"/>
      <c r="H536" s="36">
        <f t="shared" ref="H536:P536" si="181">SUM(H533:H535)</f>
        <v>275978.03999999998</v>
      </c>
      <c r="I536" s="36">
        <f t="shared" si="181"/>
        <v>0</v>
      </c>
      <c r="J536" s="36">
        <f t="shared" si="181"/>
        <v>0</v>
      </c>
      <c r="K536" s="36">
        <f t="shared" si="181"/>
        <v>0</v>
      </c>
      <c r="L536" s="36">
        <f t="shared" si="181"/>
        <v>0</v>
      </c>
      <c r="M536" s="36">
        <f t="shared" si="181"/>
        <v>0</v>
      </c>
      <c r="N536" s="36">
        <f t="shared" si="181"/>
        <v>22998.17</v>
      </c>
      <c r="O536" s="36">
        <f t="shared" si="181"/>
        <v>28163.903954550005</v>
      </c>
      <c r="P536" s="56">
        <f t="shared" si="181"/>
        <v>2.4699999999999998</v>
      </c>
    </row>
    <row r="537" spans="2:16" x14ac:dyDescent="0.25">
      <c r="B537" s="57" t="s">
        <v>1125</v>
      </c>
      <c r="C537" s="57"/>
      <c r="D537" s="57"/>
      <c r="E537" s="57"/>
      <c r="F537" s="57"/>
      <c r="G537" s="57"/>
      <c r="H537" s="58"/>
      <c r="I537" s="58"/>
      <c r="J537" s="58"/>
      <c r="K537" s="58"/>
      <c r="L537" s="58"/>
      <c r="M537" s="49"/>
      <c r="N537" s="49"/>
      <c r="O537" s="49"/>
      <c r="P537" s="50"/>
    </row>
    <row r="538" spans="2:16" x14ac:dyDescent="0.25">
      <c r="B538" s="21"/>
      <c r="C538" s="22"/>
      <c r="D538" s="51"/>
      <c r="E538" s="51"/>
      <c r="F538" s="51"/>
      <c r="G538" s="51"/>
      <c r="H538" s="52"/>
      <c r="I538" s="52"/>
      <c r="J538" s="52"/>
      <c r="K538" s="52"/>
      <c r="L538" s="52"/>
      <c r="M538" s="52"/>
      <c r="N538" s="52"/>
      <c r="O538" s="52"/>
      <c r="P538" s="52"/>
    </row>
    <row r="539" spans="2:16" x14ac:dyDescent="0.25">
      <c r="B539" s="23">
        <v>307</v>
      </c>
      <c r="C539" s="24"/>
      <c r="D539" s="25" t="s">
        <v>1125</v>
      </c>
      <c r="E539" s="25"/>
      <c r="F539" s="26"/>
      <c r="G539" s="53"/>
      <c r="H539" s="28">
        <f>5.4*12*P10</f>
        <v>603352.80000000016</v>
      </c>
      <c r="I539" s="28">
        <f>F539 * G539 * 89375.08344</f>
        <v>0</v>
      </c>
      <c r="J539" s="28">
        <f>F539 * G539 * 0</f>
        <v>0</v>
      </c>
      <c r="K539" s="28">
        <f>F539 * G539 * 538.384453</f>
        <v>0</v>
      </c>
      <c r="L539" s="28">
        <f>F539 * G539 * 9500.294767</f>
        <v>0</v>
      </c>
      <c r="M539" s="28">
        <f>F539 * G539 * 113.105978</f>
        <v>0</v>
      </c>
      <c r="N539" s="29">
        <f>SUM(H539:M539)</f>
        <v>603352.80000000016</v>
      </c>
      <c r="O539" s="92">
        <v>603352.80000000016</v>
      </c>
      <c r="P539" s="54">
        <f>IF($P$10&gt;0,N539/$P$10/12,0)</f>
        <v>5.4000000000000012</v>
      </c>
    </row>
    <row r="540" spans="2:16" ht="13.9" customHeight="1" x14ac:dyDescent="0.25">
      <c r="B540" s="109" t="s">
        <v>387</v>
      </c>
      <c r="C540" s="109"/>
      <c r="D540" s="55"/>
      <c r="E540" s="55"/>
      <c r="F540" s="55"/>
      <c r="G540" s="55"/>
      <c r="H540" s="36"/>
      <c r="I540" s="36">
        <f t="shared" ref="I540:P540" si="182">SUM(I539)</f>
        <v>0</v>
      </c>
      <c r="J540" s="36">
        <f t="shared" si="182"/>
        <v>0</v>
      </c>
      <c r="K540" s="36">
        <f t="shared" si="182"/>
        <v>0</v>
      </c>
      <c r="L540" s="36">
        <f t="shared" si="182"/>
        <v>0</v>
      </c>
      <c r="M540" s="36">
        <f t="shared" si="182"/>
        <v>0</v>
      </c>
      <c r="N540" s="36">
        <f t="shared" si="182"/>
        <v>603352.80000000016</v>
      </c>
      <c r="O540" s="36">
        <f t="shared" si="182"/>
        <v>603352.80000000016</v>
      </c>
      <c r="P540" s="56">
        <f>SUM(P539)</f>
        <v>5.4000000000000012</v>
      </c>
    </row>
    <row r="541" spans="2:16" hidden="1" x14ac:dyDescent="0.25">
      <c r="B541" s="59" t="s">
        <v>1126</v>
      </c>
      <c r="C541" s="18"/>
      <c r="D541" s="60"/>
      <c r="E541" s="61"/>
      <c r="F541" s="62"/>
      <c r="G541" s="63"/>
      <c r="H541" s="64"/>
      <c r="I541" s="64"/>
      <c r="J541" s="64"/>
      <c r="K541" s="64"/>
      <c r="L541" s="64"/>
      <c r="M541" s="64"/>
      <c r="N541" s="64"/>
      <c r="O541" s="64"/>
      <c r="P541" s="64"/>
    </row>
    <row r="542" spans="2:16" hidden="1" x14ac:dyDescent="0.25">
      <c r="B542" s="65"/>
      <c r="C542" s="66" t="s">
        <v>1127</v>
      </c>
      <c r="D542" s="60"/>
      <c r="E542" s="61"/>
      <c r="F542" s="62"/>
      <c r="G542" s="63"/>
      <c r="H542" s="64"/>
      <c r="I542" s="64"/>
      <c r="J542" s="64"/>
      <c r="K542" s="64"/>
      <c r="L542" s="64"/>
      <c r="M542" s="64"/>
      <c r="N542" s="64"/>
      <c r="O542" s="64"/>
      <c r="P542" s="64">
        <v>7.0000000000000007E-2</v>
      </c>
    </row>
    <row r="543" spans="2:16" hidden="1" x14ac:dyDescent="0.25">
      <c r="B543" s="67"/>
      <c r="C543" s="68" t="s">
        <v>1128</v>
      </c>
      <c r="D543" s="69"/>
      <c r="E543" s="70"/>
      <c r="F543" s="71"/>
      <c r="G543" s="72"/>
      <c r="H543" s="73"/>
      <c r="I543" s="73"/>
      <c r="J543" s="73"/>
      <c r="K543" s="73"/>
      <c r="L543" s="73"/>
      <c r="M543" s="73"/>
      <c r="N543" s="73"/>
      <c r="O543" s="73"/>
      <c r="P543" s="73">
        <v>1.92</v>
      </c>
    </row>
    <row r="544" spans="2:16" hidden="1" x14ac:dyDescent="0.25">
      <c r="B544" s="67"/>
      <c r="C544" s="66" t="s">
        <v>1129</v>
      </c>
      <c r="D544" s="69"/>
      <c r="E544" s="70"/>
      <c r="F544" s="71"/>
      <c r="G544" s="72"/>
      <c r="H544" s="73"/>
      <c r="I544" s="73"/>
      <c r="J544" s="73"/>
      <c r="K544" s="73"/>
      <c r="L544" s="73"/>
      <c r="M544" s="73"/>
      <c r="N544" s="73"/>
      <c r="O544" s="73"/>
      <c r="P544" s="73">
        <v>0.48</v>
      </c>
    </row>
    <row r="545" spans="2:16" x14ac:dyDescent="0.25">
      <c r="B545" s="74" t="s">
        <v>1130</v>
      </c>
      <c r="C545" s="75"/>
      <c r="D545" s="75"/>
      <c r="E545" s="76"/>
      <c r="F545" s="77"/>
      <c r="G545" s="78"/>
      <c r="H545" s="79">
        <f>H164+H206+H315+H398+H437+H445+H459+H469+H490+H513+H523+H530+H536+H540</f>
        <v>3432433.1708778846</v>
      </c>
      <c r="I545" s="79">
        <f t="shared" ref="I545:P545" si="183">I164+I206+I315+I398+I437+I445+I459+I469+I490+I513+I523+I530+I536+I540</f>
        <v>659369.84525686514</v>
      </c>
      <c r="J545" s="79">
        <f t="shared" si="183"/>
        <v>20151.565322702798</v>
      </c>
      <c r="K545" s="79">
        <f t="shared" si="183"/>
        <v>1425856.5959738649</v>
      </c>
      <c r="L545" s="79">
        <f t="shared" si="183"/>
        <v>377887.63618038251</v>
      </c>
      <c r="M545" s="79">
        <f t="shared" si="183"/>
        <v>299549.70528843423</v>
      </c>
      <c r="N545" s="79">
        <f t="shared" si="183"/>
        <v>6858121.4489001343</v>
      </c>
      <c r="O545" s="79">
        <f t="shared" si="183"/>
        <v>8263036.3089728393</v>
      </c>
      <c r="P545" s="79">
        <f>P164+P206+P315+P398+P437+P445+P459+P469+P490+P513+P523+P530+P536+P540</f>
        <v>70.531196210147783</v>
      </c>
    </row>
    <row r="548" spans="2:16" x14ac:dyDescent="0.25">
      <c r="D548" s="86" t="s">
        <v>1131</v>
      </c>
      <c r="E548" s="8" t="s">
        <v>1132</v>
      </c>
      <c r="F548" s="8"/>
      <c r="G548" s="88"/>
      <c r="H548" s="87"/>
      <c r="I548" s="87"/>
      <c r="J548" s="88" t="s">
        <v>1138</v>
      </c>
      <c r="K548" s="88"/>
    </row>
    <row r="549" spans="2:16" x14ac:dyDescent="0.25">
      <c r="D549" s="8"/>
      <c r="E549" s="8"/>
      <c r="F549" s="8"/>
      <c r="G549" s="88"/>
      <c r="H549" s="114" t="s">
        <v>1133</v>
      </c>
      <c r="I549" s="114"/>
      <c r="J549" s="88"/>
      <c r="K549" s="88"/>
    </row>
    <row r="550" spans="2:16" x14ac:dyDescent="0.25">
      <c r="D550" s="8"/>
      <c r="E550" s="8"/>
      <c r="F550" s="8"/>
      <c r="G550" s="88"/>
      <c r="H550" s="88"/>
      <c r="I550" s="88"/>
      <c r="J550" s="88"/>
      <c r="K550" s="88"/>
    </row>
    <row r="551" spans="2:16" x14ac:dyDescent="0.25">
      <c r="D551" s="8"/>
      <c r="E551" s="8"/>
      <c r="F551" s="8"/>
      <c r="G551" s="88"/>
      <c r="H551" s="88"/>
      <c r="I551" s="88"/>
      <c r="J551" s="88"/>
      <c r="K551" s="88"/>
    </row>
    <row r="552" spans="2:16" x14ac:dyDescent="0.25">
      <c r="D552" s="8"/>
      <c r="E552" s="8" t="s">
        <v>1134</v>
      </c>
      <c r="F552" s="8"/>
      <c r="G552" s="88"/>
      <c r="H552" s="87"/>
      <c r="I552" s="87"/>
      <c r="J552" s="88" t="s">
        <v>1135</v>
      </c>
      <c r="K552" s="88"/>
    </row>
    <row r="553" spans="2:16" x14ac:dyDescent="0.25">
      <c r="D553" s="8"/>
      <c r="E553" s="8"/>
      <c r="F553" s="8"/>
      <c r="G553" s="88"/>
      <c r="H553" s="114" t="s">
        <v>1133</v>
      </c>
      <c r="I553" s="114"/>
      <c r="J553" s="88"/>
      <c r="K553" s="88"/>
    </row>
    <row r="554" spans="2:16" x14ac:dyDescent="0.25">
      <c r="D554" s="8"/>
      <c r="E554" s="8"/>
      <c r="F554" s="8"/>
      <c r="G554" s="88"/>
      <c r="H554" s="88"/>
      <c r="I554" s="88"/>
      <c r="J554" s="88"/>
      <c r="K554" s="88"/>
    </row>
    <row r="555" spans="2:16" x14ac:dyDescent="0.25">
      <c r="D555" s="8"/>
      <c r="E555" s="8"/>
      <c r="F555" s="8"/>
      <c r="G555" s="88"/>
      <c r="H555" s="88"/>
      <c r="I555" s="88"/>
      <c r="J555" s="88"/>
      <c r="K555" s="88"/>
    </row>
    <row r="556" spans="2:16" x14ac:dyDescent="0.25">
      <c r="D556" s="8" t="s">
        <v>1136</v>
      </c>
      <c r="E556" s="8"/>
      <c r="F556" s="8"/>
      <c r="G556" s="88"/>
      <c r="H556" s="88"/>
      <c r="I556" s="88"/>
      <c r="J556" s="88"/>
      <c r="K556" s="88"/>
    </row>
    <row r="557" spans="2:16" x14ac:dyDescent="0.25">
      <c r="D557" s="89" t="s">
        <v>1139</v>
      </c>
      <c r="E557" s="8"/>
      <c r="F557" s="8"/>
      <c r="G557" s="88"/>
      <c r="H557" s="88"/>
      <c r="I557" s="88"/>
      <c r="J557" s="88"/>
      <c r="K557" s="88"/>
    </row>
  </sheetData>
  <mergeCells count="233">
    <mergeCell ref="D527:P527"/>
    <mergeCell ref="B530:G530"/>
    <mergeCell ref="B531:C531"/>
    <mergeCell ref="B536:C536"/>
    <mergeCell ref="B540:C540"/>
    <mergeCell ref="H549:I549"/>
    <mergeCell ref="H553:I553"/>
    <mergeCell ref="D516:P516"/>
    <mergeCell ref="D517:P517"/>
    <mergeCell ref="D518:P518"/>
    <mergeCell ref="D520:P520"/>
    <mergeCell ref="B523:G523"/>
    <mergeCell ref="B524:L525"/>
    <mergeCell ref="M524:N524"/>
    <mergeCell ref="M525:N525"/>
    <mergeCell ref="D526:P526"/>
    <mergeCell ref="D494:P494"/>
    <mergeCell ref="D496:P496"/>
    <mergeCell ref="D497:P497"/>
    <mergeCell ref="D501:P501"/>
    <mergeCell ref="D503:P503"/>
    <mergeCell ref="D508:P508"/>
    <mergeCell ref="B513:G513"/>
    <mergeCell ref="B514:L515"/>
    <mergeCell ref="M514:N514"/>
    <mergeCell ref="M515:N515"/>
    <mergeCell ref="D478:P478"/>
    <mergeCell ref="D481:P481"/>
    <mergeCell ref="D484:P484"/>
    <mergeCell ref="D487:P487"/>
    <mergeCell ref="B490:G490"/>
    <mergeCell ref="B491:L492"/>
    <mergeCell ref="M491:N491"/>
    <mergeCell ref="M492:N492"/>
    <mergeCell ref="D493:P493"/>
    <mergeCell ref="D467:P467"/>
    <mergeCell ref="B469:G469"/>
    <mergeCell ref="B470:L471"/>
    <mergeCell ref="M470:N470"/>
    <mergeCell ref="M471:N471"/>
    <mergeCell ref="D472:P472"/>
    <mergeCell ref="D473:P473"/>
    <mergeCell ref="D474:P474"/>
    <mergeCell ref="D475:P475"/>
    <mergeCell ref="D455:P455"/>
    <mergeCell ref="D456:P456"/>
    <mergeCell ref="B459:G459"/>
    <mergeCell ref="B460:L461"/>
    <mergeCell ref="M460:N460"/>
    <mergeCell ref="M461:N461"/>
    <mergeCell ref="D462:P462"/>
    <mergeCell ref="D463:P463"/>
    <mergeCell ref="D464:P464"/>
    <mergeCell ref="B445:G445"/>
    <mergeCell ref="B446:L447"/>
    <mergeCell ref="M446:N446"/>
    <mergeCell ref="M447:N447"/>
    <mergeCell ref="D448:P448"/>
    <mergeCell ref="D449:P449"/>
    <mergeCell ref="D450:P450"/>
    <mergeCell ref="D452:P452"/>
    <mergeCell ref="D453:P453"/>
    <mergeCell ref="D419:P419"/>
    <mergeCell ref="D420:P420"/>
    <mergeCell ref="D426:P426"/>
    <mergeCell ref="B437:G437"/>
    <mergeCell ref="B438:L439"/>
    <mergeCell ref="M438:N438"/>
    <mergeCell ref="M439:N439"/>
    <mergeCell ref="D440:P440"/>
    <mergeCell ref="D442:P442"/>
    <mergeCell ref="B399:L400"/>
    <mergeCell ref="M399:N399"/>
    <mergeCell ref="M400:N400"/>
    <mergeCell ref="D401:P401"/>
    <mergeCell ref="D402:P402"/>
    <mergeCell ref="D403:P403"/>
    <mergeCell ref="D406:P406"/>
    <mergeCell ref="D411:P411"/>
    <mergeCell ref="D413:P413"/>
    <mergeCell ref="D373:P373"/>
    <mergeCell ref="D374:P374"/>
    <mergeCell ref="D375:P375"/>
    <mergeCell ref="D377:P377"/>
    <mergeCell ref="D385:P385"/>
    <mergeCell ref="D388:P388"/>
    <mergeCell ref="D389:P389"/>
    <mergeCell ref="D393:P393"/>
    <mergeCell ref="B398:G398"/>
    <mergeCell ref="D349:P349"/>
    <mergeCell ref="D351:P351"/>
    <mergeCell ref="D355:P355"/>
    <mergeCell ref="D359:P359"/>
    <mergeCell ref="D361:P361"/>
    <mergeCell ref="D363:P363"/>
    <mergeCell ref="D365:P365"/>
    <mergeCell ref="D366:P366"/>
    <mergeCell ref="D369:P369"/>
    <mergeCell ref="D326:P326"/>
    <mergeCell ref="D330:P330"/>
    <mergeCell ref="D331:P331"/>
    <mergeCell ref="D335:P335"/>
    <mergeCell ref="D338:P338"/>
    <mergeCell ref="D341:P341"/>
    <mergeCell ref="D342:P342"/>
    <mergeCell ref="D344:P344"/>
    <mergeCell ref="D346:P346"/>
    <mergeCell ref="D312:P312"/>
    <mergeCell ref="D313:P313"/>
    <mergeCell ref="B315:G315"/>
    <mergeCell ref="B316:L317"/>
    <mergeCell ref="M316:N316"/>
    <mergeCell ref="M317:N317"/>
    <mergeCell ref="D318:P318"/>
    <mergeCell ref="D319:P319"/>
    <mergeCell ref="D320:P320"/>
    <mergeCell ref="D274:P274"/>
    <mergeCell ref="D279:P279"/>
    <mergeCell ref="D282:P282"/>
    <mergeCell ref="D284:P284"/>
    <mergeCell ref="D287:P287"/>
    <mergeCell ref="D288:P288"/>
    <mergeCell ref="D293:P293"/>
    <mergeCell ref="D294:P294"/>
    <mergeCell ref="D303:P303"/>
    <mergeCell ref="D250:P250"/>
    <mergeCell ref="D252:P252"/>
    <mergeCell ref="D255:P255"/>
    <mergeCell ref="D256:P256"/>
    <mergeCell ref="D258:P258"/>
    <mergeCell ref="D264:P264"/>
    <mergeCell ref="D265:P265"/>
    <mergeCell ref="D270:P270"/>
    <mergeCell ref="D273:P273"/>
    <mergeCell ref="D225:P225"/>
    <mergeCell ref="D229:P229"/>
    <mergeCell ref="D236:P236"/>
    <mergeCell ref="D237:P237"/>
    <mergeCell ref="D239:P239"/>
    <mergeCell ref="D242:P242"/>
    <mergeCell ref="D243:P243"/>
    <mergeCell ref="D245:P245"/>
    <mergeCell ref="D248:P248"/>
    <mergeCell ref="B206:G206"/>
    <mergeCell ref="B207:L208"/>
    <mergeCell ref="M207:N207"/>
    <mergeCell ref="M208:N208"/>
    <mergeCell ref="D209:P209"/>
    <mergeCell ref="D210:P210"/>
    <mergeCell ref="D211:P211"/>
    <mergeCell ref="D217:P217"/>
    <mergeCell ref="D221:P221"/>
    <mergeCell ref="D174:P174"/>
    <mergeCell ref="D175:P175"/>
    <mergeCell ref="D181:P181"/>
    <mergeCell ref="D184:P184"/>
    <mergeCell ref="D187:P187"/>
    <mergeCell ref="D189:P189"/>
    <mergeCell ref="D192:P192"/>
    <mergeCell ref="D200:P200"/>
    <mergeCell ref="D201:P201"/>
    <mergeCell ref="D155:P155"/>
    <mergeCell ref="D160:P160"/>
    <mergeCell ref="D162:P162"/>
    <mergeCell ref="B164:G164"/>
    <mergeCell ref="B165:L166"/>
    <mergeCell ref="M165:N165"/>
    <mergeCell ref="M166:N166"/>
    <mergeCell ref="D167:P167"/>
    <mergeCell ref="D168:P168"/>
    <mergeCell ref="D130:P130"/>
    <mergeCell ref="D132:P132"/>
    <mergeCell ref="D134:P134"/>
    <mergeCell ref="D138:P138"/>
    <mergeCell ref="D139:P139"/>
    <mergeCell ref="D141:P141"/>
    <mergeCell ref="D145:P145"/>
    <mergeCell ref="D152:P152"/>
    <mergeCell ref="D154:P154"/>
    <mergeCell ref="D101:P101"/>
    <mergeCell ref="D103:P103"/>
    <mergeCell ref="D104:P104"/>
    <mergeCell ref="D113:P113"/>
    <mergeCell ref="D121:P121"/>
    <mergeCell ref="D122:P122"/>
    <mergeCell ref="D124:P124"/>
    <mergeCell ref="D126:P126"/>
    <mergeCell ref="D127:P127"/>
    <mergeCell ref="D76:P76"/>
    <mergeCell ref="D78:P78"/>
    <mergeCell ref="D79:P79"/>
    <mergeCell ref="D82:P82"/>
    <mergeCell ref="D86:P86"/>
    <mergeCell ref="D88:P88"/>
    <mergeCell ref="D91:P91"/>
    <mergeCell ref="D94:P94"/>
    <mergeCell ref="D97:P97"/>
    <mergeCell ref="D60:P60"/>
    <mergeCell ref="D61:P61"/>
    <mergeCell ref="D63:P63"/>
    <mergeCell ref="D66:P66"/>
    <mergeCell ref="D67:P67"/>
    <mergeCell ref="D70:P70"/>
    <mergeCell ref="D72:P72"/>
    <mergeCell ref="D74:P74"/>
    <mergeCell ref="D75:P75"/>
    <mergeCell ref="D42:P42"/>
    <mergeCell ref="D44:P44"/>
    <mergeCell ref="D45:P45"/>
    <mergeCell ref="D47:P47"/>
    <mergeCell ref="D48:P48"/>
    <mergeCell ref="D50:P50"/>
    <mergeCell ref="D56:P56"/>
    <mergeCell ref="D57:P57"/>
    <mergeCell ref="D58:P58"/>
    <mergeCell ref="D25:P25"/>
    <mergeCell ref="D27:P27"/>
    <mergeCell ref="D28:P28"/>
    <mergeCell ref="D31:P31"/>
    <mergeCell ref="D32:P32"/>
    <mergeCell ref="D34:P34"/>
    <mergeCell ref="D36:P36"/>
    <mergeCell ref="D37:P37"/>
    <mergeCell ref="D39:P39"/>
    <mergeCell ref="B9:L10"/>
    <mergeCell ref="M9:N9"/>
    <mergeCell ref="M10:N10"/>
    <mergeCell ref="D11:P11"/>
    <mergeCell ref="D18:P18"/>
    <mergeCell ref="D19:P19"/>
    <mergeCell ref="D20:P20"/>
    <mergeCell ref="D21:P21"/>
    <mergeCell ref="D23:P23"/>
  </mergeCells>
  <pageMargins left="0.7" right="0.7" top="0.3" bottom="0.3" header="0.51180555555555496" footer="0.51180555555555496"/>
  <pageSetup paperSize="9" firstPageNumber="0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23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6</vt:i4>
      </vt:variant>
    </vt:vector>
  </HeadingPairs>
  <TitlesOfParts>
    <vt:vector size="7" baseType="lpstr">
      <vt:lpstr>Смета</vt:lpstr>
      <vt:lpstr>Смета!Print_Titles_0</vt:lpstr>
      <vt:lpstr>Смета!Print_Titles_0_0</vt:lpstr>
      <vt:lpstr>Смета!Print_Titles_0_0_0</vt:lpstr>
      <vt:lpstr>Смета!Print_Titles_0_0_0_0</vt:lpstr>
      <vt:lpstr>Смета!Print_Titles_0_0_0_0_0</vt:lpstr>
      <vt:lpstr>Смета!Заголовки_для_печати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Копылова, 12 Техническое обслуживание и ремонт жилого здания</dc:title>
  <dc:subject/>
  <dc:creator/>
  <dc:description/>
  <cp:lastModifiedBy>User</cp:lastModifiedBy>
  <cp:revision>8</cp:revision>
  <cp:lastPrinted>2022-05-12T16:46:37Z</cp:lastPrinted>
  <dcterms:created xsi:type="dcterms:W3CDTF">2022-04-29T08:26:49Z</dcterms:created>
  <dcterms:modified xsi:type="dcterms:W3CDTF">2026-03-04T08:14:29Z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