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k_avia\Obmen\Общий отдел\Сметы для общих собраний в ГИС ЖКХ\десятиэтажки\"/>
    </mc:Choice>
  </mc:AlternateContent>
  <xr:revisionPtr revIDLastSave="0" documentId="13_ncr:1_{8A43DE20-2A62-408C-9016-25886ED98434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мета" sheetId="1" r:id="rId1"/>
  </sheets>
  <calcPr calcId="179021" iterateDelta="1E-4"/>
</workbook>
</file>

<file path=xl/calcChain.xml><?xml version="1.0" encoding="utf-8"?>
<calcChain xmlns="http://schemas.openxmlformats.org/spreadsheetml/2006/main">
  <c r="I523" i="1" l="1"/>
  <c r="J523" i="1"/>
  <c r="K523" i="1"/>
  <c r="L523" i="1"/>
  <c r="M523" i="1"/>
  <c r="N523" i="1"/>
  <c r="O523" i="1"/>
  <c r="P523" i="1"/>
  <c r="H523" i="1"/>
  <c r="P157" i="1"/>
  <c r="O518" i="1" l="1"/>
  <c r="P517" i="1"/>
  <c r="P516" i="1"/>
  <c r="P515" i="1"/>
  <c r="H521" i="1"/>
  <c r="F154" i="1" l="1"/>
  <c r="M521" i="1" l="1"/>
  <c r="M522" i="1" s="1"/>
  <c r="L521" i="1"/>
  <c r="L522" i="1" s="1"/>
  <c r="K521" i="1"/>
  <c r="K522" i="1" s="1"/>
  <c r="J521" i="1"/>
  <c r="J522" i="1" s="1"/>
  <c r="I521" i="1"/>
  <c r="I522" i="1" s="1"/>
  <c r="M518" i="1"/>
  <c r="I518" i="1"/>
  <c r="M511" i="1"/>
  <c r="L511" i="1"/>
  <c r="K511" i="1"/>
  <c r="J511" i="1"/>
  <c r="I511" i="1"/>
  <c r="H511" i="1"/>
  <c r="M510" i="1"/>
  <c r="L510" i="1"/>
  <c r="K510" i="1"/>
  <c r="J510" i="1"/>
  <c r="I510" i="1"/>
  <c r="H510" i="1"/>
  <c r="M504" i="1"/>
  <c r="L504" i="1"/>
  <c r="K504" i="1"/>
  <c r="J504" i="1"/>
  <c r="I504" i="1"/>
  <c r="H504" i="1"/>
  <c r="M503" i="1"/>
  <c r="L503" i="1"/>
  <c r="L505" i="1" s="1"/>
  <c r="K503" i="1"/>
  <c r="J503" i="1"/>
  <c r="I503" i="1"/>
  <c r="H503" i="1"/>
  <c r="M501" i="1"/>
  <c r="L501" i="1"/>
  <c r="K501" i="1"/>
  <c r="J501" i="1"/>
  <c r="J505" i="1" s="1"/>
  <c r="I501" i="1"/>
  <c r="H501" i="1"/>
  <c r="F494" i="1"/>
  <c r="N494" i="1" s="1"/>
  <c r="N493" i="1"/>
  <c r="O493" i="1" s="1"/>
  <c r="P493" i="1" s="1"/>
  <c r="F492" i="1"/>
  <c r="M490" i="1"/>
  <c r="L490" i="1"/>
  <c r="K490" i="1"/>
  <c r="J490" i="1"/>
  <c r="I490" i="1"/>
  <c r="H490" i="1"/>
  <c r="M488" i="1"/>
  <c r="L488" i="1"/>
  <c r="K488" i="1"/>
  <c r="J488" i="1"/>
  <c r="I488" i="1"/>
  <c r="H488" i="1"/>
  <c r="M486" i="1"/>
  <c r="L486" i="1"/>
  <c r="K486" i="1"/>
  <c r="J486" i="1"/>
  <c r="I486" i="1"/>
  <c r="H486" i="1"/>
  <c r="M484" i="1"/>
  <c r="L484" i="1"/>
  <c r="K484" i="1"/>
  <c r="J484" i="1"/>
  <c r="I484" i="1"/>
  <c r="H484" i="1"/>
  <c r="M483" i="1"/>
  <c r="L483" i="1"/>
  <c r="K483" i="1"/>
  <c r="J483" i="1"/>
  <c r="I483" i="1"/>
  <c r="H483" i="1"/>
  <c r="M482" i="1"/>
  <c r="L482" i="1"/>
  <c r="K482" i="1"/>
  <c r="J482" i="1"/>
  <c r="I482" i="1"/>
  <c r="H482" i="1"/>
  <c r="M479" i="1"/>
  <c r="L479" i="1"/>
  <c r="K479" i="1"/>
  <c r="J479" i="1"/>
  <c r="I479" i="1"/>
  <c r="H479" i="1"/>
  <c r="M473" i="1"/>
  <c r="L473" i="1"/>
  <c r="K473" i="1"/>
  <c r="J473" i="1"/>
  <c r="I473" i="1"/>
  <c r="H473" i="1"/>
  <c r="M472" i="1"/>
  <c r="L472" i="1"/>
  <c r="K472" i="1"/>
  <c r="J472" i="1"/>
  <c r="I472" i="1"/>
  <c r="H472" i="1"/>
  <c r="M470" i="1"/>
  <c r="L470" i="1"/>
  <c r="K470" i="1"/>
  <c r="J470" i="1"/>
  <c r="I470" i="1"/>
  <c r="H470" i="1"/>
  <c r="M469" i="1"/>
  <c r="L469" i="1"/>
  <c r="K469" i="1"/>
  <c r="J469" i="1"/>
  <c r="I469" i="1"/>
  <c r="H469" i="1"/>
  <c r="M467" i="1"/>
  <c r="L467" i="1"/>
  <c r="K467" i="1"/>
  <c r="J467" i="1"/>
  <c r="I467" i="1"/>
  <c r="H467" i="1"/>
  <c r="M466" i="1"/>
  <c r="L466" i="1"/>
  <c r="K466" i="1"/>
  <c r="J466" i="1"/>
  <c r="I466" i="1"/>
  <c r="H466" i="1"/>
  <c r="M464" i="1"/>
  <c r="L464" i="1"/>
  <c r="K464" i="1"/>
  <c r="J464" i="1"/>
  <c r="I464" i="1"/>
  <c r="H464" i="1"/>
  <c r="M463" i="1"/>
  <c r="L463" i="1"/>
  <c r="K463" i="1"/>
  <c r="J463" i="1"/>
  <c r="I463" i="1"/>
  <c r="H463" i="1"/>
  <c r="M460" i="1"/>
  <c r="L460" i="1"/>
  <c r="K460" i="1"/>
  <c r="J460" i="1"/>
  <c r="I460" i="1"/>
  <c r="H460" i="1"/>
  <c r="M459" i="1"/>
  <c r="L459" i="1"/>
  <c r="K459" i="1"/>
  <c r="J459" i="1"/>
  <c r="I459" i="1"/>
  <c r="H459" i="1"/>
  <c r="M451" i="1"/>
  <c r="L451" i="1"/>
  <c r="K451" i="1"/>
  <c r="J451" i="1"/>
  <c r="I451" i="1"/>
  <c r="H451" i="1"/>
  <c r="M449" i="1"/>
  <c r="L449" i="1"/>
  <c r="K449" i="1"/>
  <c r="J449" i="1"/>
  <c r="I449" i="1"/>
  <c r="H449" i="1"/>
  <c r="M448" i="1"/>
  <c r="L448" i="1"/>
  <c r="K448" i="1"/>
  <c r="J448" i="1"/>
  <c r="I448" i="1"/>
  <c r="H448" i="1"/>
  <c r="M441" i="1"/>
  <c r="L441" i="1"/>
  <c r="K441" i="1"/>
  <c r="J441" i="1"/>
  <c r="I441" i="1"/>
  <c r="H441" i="1"/>
  <c r="M440" i="1"/>
  <c r="L440" i="1"/>
  <c r="K440" i="1"/>
  <c r="J440" i="1"/>
  <c r="I440" i="1"/>
  <c r="H440" i="1"/>
  <c r="M437" i="1"/>
  <c r="L437" i="1"/>
  <c r="K437" i="1"/>
  <c r="J437" i="1"/>
  <c r="I437" i="1"/>
  <c r="H437" i="1"/>
  <c r="M434" i="1"/>
  <c r="L434" i="1"/>
  <c r="K434" i="1"/>
  <c r="J434" i="1"/>
  <c r="I434" i="1"/>
  <c r="H434" i="1"/>
  <c r="M427" i="1"/>
  <c r="L427" i="1"/>
  <c r="K427" i="1"/>
  <c r="J427" i="1"/>
  <c r="I427" i="1"/>
  <c r="H427" i="1"/>
  <c r="M426" i="1"/>
  <c r="L426" i="1"/>
  <c r="K426" i="1"/>
  <c r="J426" i="1"/>
  <c r="I426" i="1"/>
  <c r="H426" i="1"/>
  <c r="M424" i="1"/>
  <c r="L424" i="1"/>
  <c r="K424" i="1"/>
  <c r="J424" i="1"/>
  <c r="I424" i="1"/>
  <c r="H424" i="1"/>
  <c r="H419" i="1"/>
  <c r="N419" i="1" s="1"/>
  <c r="M418" i="1"/>
  <c r="L418" i="1"/>
  <c r="K418" i="1"/>
  <c r="J418" i="1"/>
  <c r="I418" i="1"/>
  <c r="H418" i="1"/>
  <c r="M417" i="1"/>
  <c r="L417" i="1"/>
  <c r="K417" i="1"/>
  <c r="J417" i="1"/>
  <c r="I417" i="1"/>
  <c r="H417" i="1"/>
  <c r="M416" i="1"/>
  <c r="L416" i="1"/>
  <c r="K416" i="1"/>
  <c r="J416" i="1"/>
  <c r="I416" i="1"/>
  <c r="H416" i="1"/>
  <c r="M415" i="1"/>
  <c r="L415" i="1"/>
  <c r="K415" i="1"/>
  <c r="J415" i="1"/>
  <c r="I415" i="1"/>
  <c r="H415" i="1"/>
  <c r="M414" i="1"/>
  <c r="L414" i="1"/>
  <c r="K414" i="1"/>
  <c r="J414" i="1"/>
  <c r="I414" i="1"/>
  <c r="H414" i="1"/>
  <c r="M413" i="1"/>
  <c r="L413" i="1"/>
  <c r="K413" i="1"/>
  <c r="J413" i="1"/>
  <c r="I413" i="1"/>
  <c r="H413" i="1"/>
  <c r="M412" i="1"/>
  <c r="L412" i="1"/>
  <c r="K412" i="1"/>
  <c r="J412" i="1"/>
  <c r="I412" i="1"/>
  <c r="H412" i="1"/>
  <c r="M410" i="1"/>
  <c r="L410" i="1"/>
  <c r="K410" i="1"/>
  <c r="J410" i="1"/>
  <c r="I410" i="1"/>
  <c r="H410" i="1"/>
  <c r="M409" i="1"/>
  <c r="L409" i="1"/>
  <c r="K409" i="1"/>
  <c r="J409" i="1"/>
  <c r="I409" i="1"/>
  <c r="H409" i="1"/>
  <c r="M408" i="1"/>
  <c r="L408" i="1"/>
  <c r="K408" i="1"/>
  <c r="J408" i="1"/>
  <c r="I408" i="1"/>
  <c r="H408" i="1"/>
  <c r="M407" i="1"/>
  <c r="L407" i="1"/>
  <c r="K407" i="1"/>
  <c r="J407" i="1"/>
  <c r="I407" i="1"/>
  <c r="H407" i="1"/>
  <c r="M405" i="1"/>
  <c r="L405" i="1"/>
  <c r="K405" i="1"/>
  <c r="J405" i="1"/>
  <c r="I405" i="1"/>
  <c r="H405" i="1"/>
  <c r="M404" i="1"/>
  <c r="L404" i="1"/>
  <c r="K404" i="1"/>
  <c r="J404" i="1"/>
  <c r="I404" i="1"/>
  <c r="H404" i="1"/>
  <c r="M403" i="1"/>
  <c r="L403" i="1"/>
  <c r="K403" i="1"/>
  <c r="J403" i="1"/>
  <c r="I403" i="1"/>
  <c r="H403" i="1"/>
  <c r="M402" i="1"/>
  <c r="L402" i="1"/>
  <c r="K402" i="1"/>
  <c r="J402" i="1"/>
  <c r="I402" i="1"/>
  <c r="H402" i="1"/>
  <c r="M401" i="1"/>
  <c r="L401" i="1"/>
  <c r="K401" i="1"/>
  <c r="J401" i="1"/>
  <c r="I401" i="1"/>
  <c r="H401" i="1"/>
  <c r="M399" i="1"/>
  <c r="L399" i="1"/>
  <c r="K399" i="1"/>
  <c r="J399" i="1"/>
  <c r="I399" i="1"/>
  <c r="H399" i="1"/>
  <c r="M397" i="1"/>
  <c r="L397" i="1"/>
  <c r="K397" i="1"/>
  <c r="J397" i="1"/>
  <c r="I397" i="1"/>
  <c r="H397" i="1"/>
  <c r="M396" i="1"/>
  <c r="L396" i="1"/>
  <c r="K396" i="1"/>
  <c r="J396" i="1"/>
  <c r="I396" i="1"/>
  <c r="H396" i="1"/>
  <c r="M395" i="1"/>
  <c r="L395" i="1"/>
  <c r="K395" i="1"/>
  <c r="J395" i="1"/>
  <c r="I395" i="1"/>
  <c r="H395" i="1"/>
  <c r="M394" i="1"/>
  <c r="L394" i="1"/>
  <c r="K394" i="1"/>
  <c r="J394" i="1"/>
  <c r="I394" i="1"/>
  <c r="H394" i="1"/>
  <c r="M392" i="1"/>
  <c r="L392" i="1"/>
  <c r="K392" i="1"/>
  <c r="J392" i="1"/>
  <c r="I392" i="1"/>
  <c r="H392" i="1"/>
  <c r="M391" i="1"/>
  <c r="L391" i="1"/>
  <c r="K391" i="1"/>
  <c r="J391" i="1"/>
  <c r="I391" i="1"/>
  <c r="H391" i="1"/>
  <c r="M384" i="1"/>
  <c r="L384" i="1"/>
  <c r="K384" i="1"/>
  <c r="J384" i="1"/>
  <c r="I384" i="1"/>
  <c r="H384" i="1"/>
  <c r="M383" i="1"/>
  <c r="L383" i="1"/>
  <c r="K383" i="1"/>
  <c r="J383" i="1"/>
  <c r="I383" i="1"/>
  <c r="H383" i="1"/>
  <c r="M382" i="1"/>
  <c r="L382" i="1"/>
  <c r="K382" i="1"/>
  <c r="J382" i="1"/>
  <c r="I382" i="1"/>
  <c r="H382" i="1"/>
  <c r="M381" i="1"/>
  <c r="L381" i="1"/>
  <c r="K381" i="1"/>
  <c r="J381" i="1"/>
  <c r="I381" i="1"/>
  <c r="H381" i="1"/>
  <c r="M379" i="1"/>
  <c r="L379" i="1"/>
  <c r="K379" i="1"/>
  <c r="J379" i="1"/>
  <c r="I379" i="1"/>
  <c r="H379" i="1"/>
  <c r="M378" i="1"/>
  <c r="L378" i="1"/>
  <c r="K378" i="1"/>
  <c r="J378" i="1"/>
  <c r="I378" i="1"/>
  <c r="H378" i="1"/>
  <c r="M377" i="1"/>
  <c r="L377" i="1"/>
  <c r="K377" i="1"/>
  <c r="J377" i="1"/>
  <c r="I377" i="1"/>
  <c r="H377" i="1"/>
  <c r="M374" i="1"/>
  <c r="L374" i="1"/>
  <c r="K374" i="1"/>
  <c r="J374" i="1"/>
  <c r="I374" i="1"/>
  <c r="H374" i="1"/>
  <c r="M373" i="1"/>
  <c r="L373" i="1"/>
  <c r="K373" i="1"/>
  <c r="J373" i="1"/>
  <c r="I373" i="1"/>
  <c r="H373" i="1"/>
  <c r="M371" i="1"/>
  <c r="L371" i="1"/>
  <c r="K371" i="1"/>
  <c r="J371" i="1"/>
  <c r="I371" i="1"/>
  <c r="H371" i="1"/>
  <c r="M370" i="1"/>
  <c r="L370" i="1"/>
  <c r="K370" i="1"/>
  <c r="J370" i="1"/>
  <c r="I370" i="1"/>
  <c r="H370" i="1"/>
  <c r="M369" i="1"/>
  <c r="L369" i="1"/>
  <c r="K369" i="1"/>
  <c r="J369" i="1"/>
  <c r="I369" i="1"/>
  <c r="H369" i="1"/>
  <c r="M368" i="1"/>
  <c r="L368" i="1"/>
  <c r="K368" i="1"/>
  <c r="J368" i="1"/>
  <c r="I368" i="1"/>
  <c r="H368" i="1"/>
  <c r="M367" i="1"/>
  <c r="L367" i="1"/>
  <c r="K367" i="1"/>
  <c r="J367" i="1"/>
  <c r="I367" i="1"/>
  <c r="H367" i="1"/>
  <c r="M366" i="1"/>
  <c r="L366" i="1"/>
  <c r="K366" i="1"/>
  <c r="J366" i="1"/>
  <c r="I366" i="1"/>
  <c r="H366" i="1"/>
  <c r="M365" i="1"/>
  <c r="L365" i="1"/>
  <c r="K365" i="1"/>
  <c r="J365" i="1"/>
  <c r="I365" i="1"/>
  <c r="H365" i="1"/>
  <c r="M363" i="1"/>
  <c r="L363" i="1"/>
  <c r="K363" i="1"/>
  <c r="J363" i="1"/>
  <c r="I363" i="1"/>
  <c r="H363" i="1"/>
  <c r="M359" i="1"/>
  <c r="L359" i="1"/>
  <c r="K359" i="1"/>
  <c r="J359" i="1"/>
  <c r="I359" i="1"/>
  <c r="H359" i="1"/>
  <c r="M358" i="1"/>
  <c r="L358" i="1"/>
  <c r="K358" i="1"/>
  <c r="J358" i="1"/>
  <c r="I358" i="1"/>
  <c r="H358" i="1"/>
  <c r="M357" i="1"/>
  <c r="L357" i="1"/>
  <c r="K357" i="1"/>
  <c r="J357" i="1"/>
  <c r="I357" i="1"/>
  <c r="H357" i="1"/>
  <c r="M355" i="1"/>
  <c r="L355" i="1"/>
  <c r="K355" i="1"/>
  <c r="J355" i="1"/>
  <c r="I355" i="1"/>
  <c r="H355" i="1"/>
  <c r="M354" i="1"/>
  <c r="L354" i="1"/>
  <c r="K354" i="1"/>
  <c r="J354" i="1"/>
  <c r="I354" i="1"/>
  <c r="H354" i="1"/>
  <c r="M351" i="1"/>
  <c r="L351" i="1"/>
  <c r="K351" i="1"/>
  <c r="J351" i="1"/>
  <c r="I351" i="1"/>
  <c r="H351" i="1"/>
  <c r="M349" i="1"/>
  <c r="L349" i="1"/>
  <c r="K349" i="1"/>
  <c r="J349" i="1"/>
  <c r="I349" i="1"/>
  <c r="H349" i="1"/>
  <c r="M347" i="1"/>
  <c r="L347" i="1"/>
  <c r="K347" i="1"/>
  <c r="J347" i="1"/>
  <c r="I347" i="1"/>
  <c r="H347" i="1"/>
  <c r="M345" i="1"/>
  <c r="L345" i="1"/>
  <c r="K345" i="1"/>
  <c r="J345" i="1"/>
  <c r="I345" i="1"/>
  <c r="H345" i="1"/>
  <c r="M344" i="1"/>
  <c r="L344" i="1"/>
  <c r="K344" i="1"/>
  <c r="J344" i="1"/>
  <c r="I344" i="1"/>
  <c r="H344" i="1"/>
  <c r="M343" i="1"/>
  <c r="L343" i="1"/>
  <c r="K343" i="1"/>
  <c r="J343" i="1"/>
  <c r="I343" i="1"/>
  <c r="H343" i="1"/>
  <c r="M341" i="1"/>
  <c r="L341" i="1"/>
  <c r="K341" i="1"/>
  <c r="J341" i="1"/>
  <c r="I341" i="1"/>
  <c r="H341" i="1"/>
  <c r="M340" i="1"/>
  <c r="L340" i="1"/>
  <c r="K340" i="1"/>
  <c r="J340" i="1"/>
  <c r="I340" i="1"/>
  <c r="H340" i="1"/>
  <c r="M339" i="1"/>
  <c r="L339" i="1"/>
  <c r="K339" i="1"/>
  <c r="J339" i="1"/>
  <c r="I339" i="1"/>
  <c r="H339" i="1"/>
  <c r="M337" i="1"/>
  <c r="L337" i="1"/>
  <c r="K337" i="1"/>
  <c r="J337" i="1"/>
  <c r="I337" i="1"/>
  <c r="H337" i="1"/>
  <c r="M335" i="1"/>
  <c r="L335" i="1"/>
  <c r="K335" i="1"/>
  <c r="J335" i="1"/>
  <c r="I335" i="1"/>
  <c r="H335" i="1"/>
  <c r="M334" i="1"/>
  <c r="L334" i="1"/>
  <c r="K334" i="1"/>
  <c r="J334" i="1"/>
  <c r="I334" i="1"/>
  <c r="H334" i="1"/>
  <c r="M332" i="1"/>
  <c r="L332" i="1"/>
  <c r="K332" i="1"/>
  <c r="J332" i="1"/>
  <c r="I332" i="1"/>
  <c r="H332" i="1"/>
  <c r="M330" i="1"/>
  <c r="L330" i="1"/>
  <c r="K330" i="1"/>
  <c r="J330" i="1"/>
  <c r="I330" i="1"/>
  <c r="H330" i="1"/>
  <c r="M327" i="1"/>
  <c r="L327" i="1"/>
  <c r="K327" i="1"/>
  <c r="J327" i="1"/>
  <c r="I327" i="1"/>
  <c r="H327" i="1"/>
  <c r="M326" i="1"/>
  <c r="L326" i="1"/>
  <c r="K326" i="1"/>
  <c r="J326" i="1"/>
  <c r="I326" i="1"/>
  <c r="H326" i="1"/>
  <c r="M324" i="1"/>
  <c r="L324" i="1"/>
  <c r="K324" i="1"/>
  <c r="J324" i="1"/>
  <c r="I324" i="1"/>
  <c r="H324" i="1"/>
  <c r="M323" i="1"/>
  <c r="L323" i="1"/>
  <c r="K323" i="1"/>
  <c r="J323" i="1"/>
  <c r="I323" i="1"/>
  <c r="H323" i="1"/>
  <c r="M321" i="1"/>
  <c r="L321" i="1"/>
  <c r="K321" i="1"/>
  <c r="J321" i="1"/>
  <c r="I321" i="1"/>
  <c r="H321" i="1"/>
  <c r="M320" i="1"/>
  <c r="L320" i="1"/>
  <c r="K320" i="1"/>
  <c r="J320" i="1"/>
  <c r="I320" i="1"/>
  <c r="H320" i="1"/>
  <c r="M319" i="1"/>
  <c r="L319" i="1"/>
  <c r="K319" i="1"/>
  <c r="J319" i="1"/>
  <c r="I319" i="1"/>
  <c r="H319" i="1"/>
  <c r="M316" i="1"/>
  <c r="L316" i="1"/>
  <c r="K316" i="1"/>
  <c r="J316" i="1"/>
  <c r="I316" i="1"/>
  <c r="H316" i="1"/>
  <c r="M315" i="1"/>
  <c r="L315" i="1"/>
  <c r="K315" i="1"/>
  <c r="J315" i="1"/>
  <c r="I315" i="1"/>
  <c r="H315" i="1"/>
  <c r="M314" i="1"/>
  <c r="L314" i="1"/>
  <c r="K314" i="1"/>
  <c r="J314" i="1"/>
  <c r="I314" i="1"/>
  <c r="H314" i="1"/>
  <c r="M312" i="1"/>
  <c r="L312" i="1"/>
  <c r="K312" i="1"/>
  <c r="J312" i="1"/>
  <c r="I312" i="1"/>
  <c r="H312" i="1"/>
  <c r="M311" i="1"/>
  <c r="L311" i="1"/>
  <c r="K311" i="1"/>
  <c r="J311" i="1"/>
  <c r="I311" i="1"/>
  <c r="H311" i="1"/>
  <c r="M310" i="1"/>
  <c r="L310" i="1"/>
  <c r="K310" i="1"/>
  <c r="J310" i="1"/>
  <c r="I310" i="1"/>
  <c r="H310" i="1"/>
  <c r="M309" i="1"/>
  <c r="L309" i="1"/>
  <c r="K309" i="1"/>
  <c r="J309" i="1"/>
  <c r="I309" i="1"/>
  <c r="H309" i="1"/>
  <c r="M308" i="1"/>
  <c r="L308" i="1"/>
  <c r="K308" i="1"/>
  <c r="J308" i="1"/>
  <c r="I308" i="1"/>
  <c r="H308" i="1"/>
  <c r="M301" i="1"/>
  <c r="L301" i="1"/>
  <c r="K301" i="1"/>
  <c r="J301" i="1"/>
  <c r="I301" i="1"/>
  <c r="H301" i="1"/>
  <c r="M298" i="1"/>
  <c r="L298" i="1"/>
  <c r="K298" i="1"/>
  <c r="J298" i="1"/>
  <c r="I298" i="1"/>
  <c r="H298" i="1"/>
  <c r="M297" i="1"/>
  <c r="L297" i="1"/>
  <c r="K297" i="1"/>
  <c r="J297" i="1"/>
  <c r="I297" i="1"/>
  <c r="H297" i="1"/>
  <c r="M296" i="1"/>
  <c r="L296" i="1"/>
  <c r="K296" i="1"/>
  <c r="J296" i="1"/>
  <c r="I296" i="1"/>
  <c r="H296" i="1"/>
  <c r="M295" i="1"/>
  <c r="L295" i="1"/>
  <c r="K295" i="1"/>
  <c r="J295" i="1"/>
  <c r="I295" i="1"/>
  <c r="H295" i="1"/>
  <c r="M294" i="1"/>
  <c r="L294" i="1"/>
  <c r="K294" i="1"/>
  <c r="J294" i="1"/>
  <c r="I294" i="1"/>
  <c r="H294" i="1"/>
  <c r="M293" i="1"/>
  <c r="L293" i="1"/>
  <c r="K293" i="1"/>
  <c r="J293" i="1"/>
  <c r="I293" i="1"/>
  <c r="H293" i="1"/>
  <c r="M292" i="1"/>
  <c r="L292" i="1"/>
  <c r="K292" i="1"/>
  <c r="J292" i="1"/>
  <c r="I292" i="1"/>
  <c r="H292" i="1"/>
  <c r="M291" i="1"/>
  <c r="L291" i="1"/>
  <c r="K291" i="1"/>
  <c r="J291" i="1"/>
  <c r="I291" i="1"/>
  <c r="H291" i="1"/>
  <c r="M289" i="1"/>
  <c r="L289" i="1"/>
  <c r="K289" i="1"/>
  <c r="J289" i="1"/>
  <c r="I289" i="1"/>
  <c r="H289" i="1"/>
  <c r="M288" i="1"/>
  <c r="L288" i="1"/>
  <c r="K288" i="1"/>
  <c r="J288" i="1"/>
  <c r="I288" i="1"/>
  <c r="H288" i="1"/>
  <c r="M287" i="1"/>
  <c r="L287" i="1"/>
  <c r="K287" i="1"/>
  <c r="J287" i="1"/>
  <c r="I287" i="1"/>
  <c r="H287" i="1"/>
  <c r="M286" i="1"/>
  <c r="L286" i="1"/>
  <c r="K286" i="1"/>
  <c r="J286" i="1"/>
  <c r="I286" i="1"/>
  <c r="H286" i="1"/>
  <c r="M285" i="1"/>
  <c r="L285" i="1"/>
  <c r="K285" i="1"/>
  <c r="J285" i="1"/>
  <c r="I285" i="1"/>
  <c r="H285" i="1"/>
  <c r="M284" i="1"/>
  <c r="L284" i="1"/>
  <c r="K284" i="1"/>
  <c r="J284" i="1"/>
  <c r="I284" i="1"/>
  <c r="H284" i="1"/>
  <c r="M283" i="1"/>
  <c r="L283" i="1"/>
  <c r="K283" i="1"/>
  <c r="J283" i="1"/>
  <c r="I283" i="1"/>
  <c r="H283" i="1"/>
  <c r="M282" i="1"/>
  <c r="L282" i="1"/>
  <c r="K282" i="1"/>
  <c r="J282" i="1"/>
  <c r="I282" i="1"/>
  <c r="H282" i="1"/>
  <c r="M279" i="1"/>
  <c r="L279" i="1"/>
  <c r="K279" i="1"/>
  <c r="J279" i="1"/>
  <c r="I279" i="1"/>
  <c r="H279" i="1"/>
  <c r="M278" i="1"/>
  <c r="L278" i="1"/>
  <c r="K278" i="1"/>
  <c r="J278" i="1"/>
  <c r="I278" i="1"/>
  <c r="H278" i="1"/>
  <c r="M277" i="1"/>
  <c r="L277" i="1"/>
  <c r="K277" i="1"/>
  <c r="J277" i="1"/>
  <c r="I277" i="1"/>
  <c r="H277" i="1"/>
  <c r="M276" i="1"/>
  <c r="L276" i="1"/>
  <c r="K276" i="1"/>
  <c r="J276" i="1"/>
  <c r="I276" i="1"/>
  <c r="H276" i="1"/>
  <c r="M273" i="1"/>
  <c r="L273" i="1"/>
  <c r="K273" i="1"/>
  <c r="J273" i="1"/>
  <c r="I273" i="1"/>
  <c r="H273" i="1"/>
  <c r="M272" i="1"/>
  <c r="L272" i="1"/>
  <c r="K272" i="1"/>
  <c r="J272" i="1"/>
  <c r="I272" i="1"/>
  <c r="H272" i="1"/>
  <c r="M270" i="1"/>
  <c r="L270" i="1"/>
  <c r="K270" i="1"/>
  <c r="J270" i="1"/>
  <c r="I270" i="1"/>
  <c r="H270" i="1"/>
  <c r="M268" i="1"/>
  <c r="L268" i="1"/>
  <c r="K268" i="1"/>
  <c r="J268" i="1"/>
  <c r="I268" i="1"/>
  <c r="H268" i="1"/>
  <c r="M267" i="1"/>
  <c r="L267" i="1"/>
  <c r="K267" i="1"/>
  <c r="J267" i="1"/>
  <c r="I267" i="1"/>
  <c r="H267" i="1"/>
  <c r="M265" i="1"/>
  <c r="L265" i="1"/>
  <c r="K265" i="1"/>
  <c r="J265" i="1"/>
  <c r="I265" i="1"/>
  <c r="H265" i="1"/>
  <c r="M264" i="1"/>
  <c r="L264" i="1"/>
  <c r="K264" i="1"/>
  <c r="J264" i="1"/>
  <c r="I264" i="1"/>
  <c r="H264" i="1"/>
  <c r="M263" i="1"/>
  <c r="L263" i="1"/>
  <c r="K263" i="1"/>
  <c r="J263" i="1"/>
  <c r="I263" i="1"/>
  <c r="H263" i="1"/>
  <c r="M262" i="1"/>
  <c r="L262" i="1"/>
  <c r="K262" i="1"/>
  <c r="J262" i="1"/>
  <c r="I262" i="1"/>
  <c r="H262" i="1"/>
  <c r="M259" i="1"/>
  <c r="L259" i="1"/>
  <c r="K259" i="1"/>
  <c r="J259" i="1"/>
  <c r="I259" i="1"/>
  <c r="H259" i="1"/>
  <c r="M258" i="1"/>
  <c r="L258" i="1"/>
  <c r="K258" i="1"/>
  <c r="J258" i="1"/>
  <c r="I258" i="1"/>
  <c r="H258" i="1"/>
  <c r="M256" i="1"/>
  <c r="L256" i="1"/>
  <c r="K256" i="1"/>
  <c r="J256" i="1"/>
  <c r="I256" i="1"/>
  <c r="H256" i="1"/>
  <c r="M255" i="1"/>
  <c r="L255" i="1"/>
  <c r="K255" i="1"/>
  <c r="J255" i="1"/>
  <c r="I255" i="1"/>
  <c r="H255" i="1"/>
  <c r="M254" i="1"/>
  <c r="L254" i="1"/>
  <c r="K254" i="1"/>
  <c r="J254" i="1"/>
  <c r="I254" i="1"/>
  <c r="H254" i="1"/>
  <c r="M253" i="1"/>
  <c r="L253" i="1"/>
  <c r="K253" i="1"/>
  <c r="J253" i="1"/>
  <c r="I253" i="1"/>
  <c r="H253" i="1"/>
  <c r="M250" i="1"/>
  <c r="L250" i="1"/>
  <c r="K250" i="1"/>
  <c r="J250" i="1"/>
  <c r="I250" i="1"/>
  <c r="H250" i="1"/>
  <c r="M249" i="1"/>
  <c r="L249" i="1"/>
  <c r="K249" i="1"/>
  <c r="J249" i="1"/>
  <c r="I249" i="1"/>
  <c r="H249" i="1"/>
  <c r="M248" i="1"/>
  <c r="L248" i="1"/>
  <c r="K248" i="1"/>
  <c r="J248" i="1"/>
  <c r="I248" i="1"/>
  <c r="H248" i="1"/>
  <c r="M247" i="1"/>
  <c r="L247" i="1"/>
  <c r="K247" i="1"/>
  <c r="J247" i="1"/>
  <c r="I247" i="1"/>
  <c r="H247" i="1"/>
  <c r="M246" i="1"/>
  <c r="L246" i="1"/>
  <c r="K246" i="1"/>
  <c r="J246" i="1"/>
  <c r="I246" i="1"/>
  <c r="H246" i="1"/>
  <c r="M244" i="1"/>
  <c r="L244" i="1"/>
  <c r="K244" i="1"/>
  <c r="J244" i="1"/>
  <c r="I244" i="1"/>
  <c r="H244" i="1"/>
  <c r="M241" i="1"/>
  <c r="L241" i="1"/>
  <c r="K241" i="1"/>
  <c r="J241" i="1"/>
  <c r="I241" i="1"/>
  <c r="H241" i="1"/>
  <c r="M240" i="1"/>
  <c r="L240" i="1"/>
  <c r="K240" i="1"/>
  <c r="J240" i="1"/>
  <c r="I240" i="1"/>
  <c r="H240" i="1"/>
  <c r="M238" i="1"/>
  <c r="L238" i="1"/>
  <c r="K238" i="1"/>
  <c r="J238" i="1"/>
  <c r="I238" i="1"/>
  <c r="H238" i="1"/>
  <c r="M236" i="1"/>
  <c r="L236" i="1"/>
  <c r="K236" i="1"/>
  <c r="J236" i="1"/>
  <c r="I236" i="1"/>
  <c r="H236" i="1"/>
  <c r="M234" i="1"/>
  <c r="L234" i="1"/>
  <c r="K234" i="1"/>
  <c r="J234" i="1"/>
  <c r="I234" i="1"/>
  <c r="H234" i="1"/>
  <c r="M233" i="1"/>
  <c r="L233" i="1"/>
  <c r="K233" i="1"/>
  <c r="J233" i="1"/>
  <c r="I233" i="1"/>
  <c r="H233" i="1"/>
  <c r="M231" i="1"/>
  <c r="L231" i="1"/>
  <c r="K231" i="1"/>
  <c r="J231" i="1"/>
  <c r="I231" i="1"/>
  <c r="H231" i="1"/>
  <c r="M228" i="1"/>
  <c r="L228" i="1"/>
  <c r="K228" i="1"/>
  <c r="J228" i="1"/>
  <c r="I228" i="1"/>
  <c r="H228" i="1"/>
  <c r="M227" i="1"/>
  <c r="L227" i="1"/>
  <c r="K227" i="1"/>
  <c r="J227" i="1"/>
  <c r="I227" i="1"/>
  <c r="H227" i="1"/>
  <c r="M225" i="1"/>
  <c r="L225" i="1"/>
  <c r="K225" i="1"/>
  <c r="J225" i="1"/>
  <c r="I225" i="1"/>
  <c r="H225" i="1"/>
  <c r="M222" i="1"/>
  <c r="L222" i="1"/>
  <c r="K222" i="1"/>
  <c r="J222" i="1"/>
  <c r="I222" i="1"/>
  <c r="H222" i="1"/>
  <c r="M221" i="1"/>
  <c r="L221" i="1"/>
  <c r="K221" i="1"/>
  <c r="J221" i="1"/>
  <c r="I221" i="1"/>
  <c r="H221" i="1"/>
  <c r="M220" i="1"/>
  <c r="L220" i="1"/>
  <c r="K220" i="1"/>
  <c r="J220" i="1"/>
  <c r="I220" i="1"/>
  <c r="H220" i="1"/>
  <c r="M219" i="1"/>
  <c r="L219" i="1"/>
  <c r="K219" i="1"/>
  <c r="J219" i="1"/>
  <c r="I219" i="1"/>
  <c r="H219" i="1"/>
  <c r="M218" i="1"/>
  <c r="L218" i="1"/>
  <c r="K218" i="1"/>
  <c r="J218" i="1"/>
  <c r="I218" i="1"/>
  <c r="H218" i="1"/>
  <c r="M217" i="1"/>
  <c r="L217" i="1"/>
  <c r="K217" i="1"/>
  <c r="J217" i="1"/>
  <c r="I217" i="1"/>
  <c r="H217" i="1"/>
  <c r="M215" i="1"/>
  <c r="L215" i="1"/>
  <c r="K215" i="1"/>
  <c r="J215" i="1"/>
  <c r="I215" i="1"/>
  <c r="H215" i="1"/>
  <c r="M214" i="1"/>
  <c r="L214" i="1"/>
  <c r="K214" i="1"/>
  <c r="J214" i="1"/>
  <c r="I214" i="1"/>
  <c r="H214" i="1"/>
  <c r="M213" i="1"/>
  <c r="L213" i="1"/>
  <c r="K213" i="1"/>
  <c r="J213" i="1"/>
  <c r="I213" i="1"/>
  <c r="H213" i="1"/>
  <c r="M211" i="1"/>
  <c r="L211" i="1"/>
  <c r="K211" i="1"/>
  <c r="J211" i="1"/>
  <c r="I211" i="1"/>
  <c r="H211" i="1"/>
  <c r="M210" i="1"/>
  <c r="L210" i="1"/>
  <c r="K210" i="1"/>
  <c r="J210" i="1"/>
  <c r="I210" i="1"/>
  <c r="H210" i="1"/>
  <c r="M209" i="1"/>
  <c r="L209" i="1"/>
  <c r="K209" i="1"/>
  <c r="J209" i="1"/>
  <c r="I209" i="1"/>
  <c r="H209" i="1"/>
  <c r="M207" i="1"/>
  <c r="L207" i="1"/>
  <c r="K207" i="1"/>
  <c r="J207" i="1"/>
  <c r="I207" i="1"/>
  <c r="H207" i="1"/>
  <c r="M206" i="1"/>
  <c r="L206" i="1"/>
  <c r="K206" i="1"/>
  <c r="J206" i="1"/>
  <c r="I206" i="1"/>
  <c r="H206" i="1"/>
  <c r="M205" i="1"/>
  <c r="L205" i="1"/>
  <c r="K205" i="1"/>
  <c r="J205" i="1"/>
  <c r="I205" i="1"/>
  <c r="H205" i="1"/>
  <c r="M203" i="1"/>
  <c r="L203" i="1"/>
  <c r="K203" i="1"/>
  <c r="J203" i="1"/>
  <c r="I203" i="1"/>
  <c r="H203" i="1"/>
  <c r="M202" i="1"/>
  <c r="L202" i="1"/>
  <c r="K202" i="1"/>
  <c r="J202" i="1"/>
  <c r="I202" i="1"/>
  <c r="H202" i="1"/>
  <c r="M201" i="1"/>
  <c r="L201" i="1"/>
  <c r="K201" i="1"/>
  <c r="J201" i="1"/>
  <c r="I201" i="1"/>
  <c r="H201" i="1"/>
  <c r="M200" i="1"/>
  <c r="L200" i="1"/>
  <c r="K200" i="1"/>
  <c r="J200" i="1"/>
  <c r="I200" i="1"/>
  <c r="H200" i="1"/>
  <c r="M199" i="1"/>
  <c r="L199" i="1"/>
  <c r="K199" i="1"/>
  <c r="J199" i="1"/>
  <c r="I199" i="1"/>
  <c r="H199" i="1"/>
  <c r="M192" i="1"/>
  <c r="L192" i="1"/>
  <c r="K192" i="1"/>
  <c r="J192" i="1"/>
  <c r="I192" i="1"/>
  <c r="H192" i="1"/>
  <c r="M191" i="1"/>
  <c r="L191" i="1"/>
  <c r="K191" i="1"/>
  <c r="J191" i="1"/>
  <c r="I191" i="1"/>
  <c r="H191" i="1"/>
  <c r="M190" i="1"/>
  <c r="L190" i="1"/>
  <c r="K190" i="1"/>
  <c r="J190" i="1"/>
  <c r="I190" i="1"/>
  <c r="H190" i="1"/>
  <c r="M189" i="1"/>
  <c r="L189" i="1"/>
  <c r="K189" i="1"/>
  <c r="J189" i="1"/>
  <c r="I189" i="1"/>
  <c r="H189" i="1"/>
  <c r="M186" i="1"/>
  <c r="L186" i="1"/>
  <c r="K186" i="1"/>
  <c r="J186" i="1"/>
  <c r="I186" i="1"/>
  <c r="H186" i="1"/>
  <c r="M185" i="1"/>
  <c r="L185" i="1"/>
  <c r="K185" i="1"/>
  <c r="J185" i="1"/>
  <c r="I185" i="1"/>
  <c r="H185" i="1"/>
  <c r="M184" i="1"/>
  <c r="L184" i="1"/>
  <c r="K184" i="1"/>
  <c r="J184" i="1"/>
  <c r="I184" i="1"/>
  <c r="H184" i="1"/>
  <c r="M183" i="1"/>
  <c r="L183" i="1"/>
  <c r="K183" i="1"/>
  <c r="J183" i="1"/>
  <c r="I183" i="1"/>
  <c r="H183" i="1"/>
  <c r="M182" i="1"/>
  <c r="L182" i="1"/>
  <c r="K182" i="1"/>
  <c r="J182" i="1"/>
  <c r="I182" i="1"/>
  <c r="H182" i="1"/>
  <c r="M181" i="1"/>
  <c r="L181" i="1"/>
  <c r="K181" i="1"/>
  <c r="J181" i="1"/>
  <c r="I181" i="1"/>
  <c r="H181" i="1"/>
  <c r="M180" i="1"/>
  <c r="L180" i="1"/>
  <c r="K180" i="1"/>
  <c r="J180" i="1"/>
  <c r="I180" i="1"/>
  <c r="H180" i="1"/>
  <c r="M178" i="1"/>
  <c r="L178" i="1"/>
  <c r="K178" i="1"/>
  <c r="J178" i="1"/>
  <c r="I178" i="1"/>
  <c r="H178" i="1"/>
  <c r="M177" i="1"/>
  <c r="L177" i="1"/>
  <c r="K177" i="1"/>
  <c r="J177" i="1"/>
  <c r="I177" i="1"/>
  <c r="H177" i="1"/>
  <c r="M175" i="1"/>
  <c r="L175" i="1"/>
  <c r="K175" i="1"/>
  <c r="J175" i="1"/>
  <c r="I175" i="1"/>
  <c r="H175" i="1"/>
  <c r="M173" i="1"/>
  <c r="L173" i="1"/>
  <c r="K173" i="1"/>
  <c r="J173" i="1"/>
  <c r="I173" i="1"/>
  <c r="H173" i="1"/>
  <c r="M171" i="1"/>
  <c r="L171" i="1"/>
  <c r="K171" i="1"/>
  <c r="J171" i="1"/>
  <c r="I171" i="1"/>
  <c r="H171" i="1"/>
  <c r="M170" i="1"/>
  <c r="L170" i="1"/>
  <c r="K170" i="1"/>
  <c r="J170" i="1"/>
  <c r="I170" i="1"/>
  <c r="H170" i="1"/>
  <c r="M169" i="1"/>
  <c r="L169" i="1"/>
  <c r="K169" i="1"/>
  <c r="J169" i="1"/>
  <c r="I169" i="1"/>
  <c r="H169" i="1"/>
  <c r="M168" i="1"/>
  <c r="L168" i="1"/>
  <c r="K168" i="1"/>
  <c r="J168" i="1"/>
  <c r="I168" i="1"/>
  <c r="H168" i="1"/>
  <c r="M167" i="1"/>
  <c r="L167" i="1"/>
  <c r="K167" i="1"/>
  <c r="J167" i="1"/>
  <c r="I167" i="1"/>
  <c r="H167" i="1"/>
  <c r="M164" i="1"/>
  <c r="L164" i="1"/>
  <c r="K164" i="1"/>
  <c r="J164" i="1"/>
  <c r="I164" i="1"/>
  <c r="H164" i="1"/>
  <c r="M163" i="1"/>
  <c r="L163" i="1"/>
  <c r="K163" i="1"/>
  <c r="J163" i="1"/>
  <c r="I163" i="1"/>
  <c r="H163" i="1"/>
  <c r="M162" i="1"/>
  <c r="L162" i="1"/>
  <c r="K162" i="1"/>
  <c r="J162" i="1"/>
  <c r="I162" i="1"/>
  <c r="H162" i="1"/>
  <c r="F156" i="1"/>
  <c r="H156" i="1" s="1"/>
  <c r="N156" i="1" s="1"/>
  <c r="M154" i="1"/>
  <c r="L154" i="1"/>
  <c r="K154" i="1"/>
  <c r="J154" i="1"/>
  <c r="I154" i="1"/>
  <c r="H154" i="1"/>
  <c r="M152" i="1"/>
  <c r="L152" i="1"/>
  <c r="K152" i="1"/>
  <c r="J152" i="1"/>
  <c r="I152" i="1"/>
  <c r="H152" i="1"/>
  <c r="M151" i="1"/>
  <c r="L151" i="1"/>
  <c r="K151" i="1"/>
  <c r="J151" i="1"/>
  <c r="I151" i="1"/>
  <c r="H151" i="1"/>
  <c r="M150" i="1"/>
  <c r="L150" i="1"/>
  <c r="K150" i="1"/>
  <c r="J150" i="1"/>
  <c r="I150" i="1"/>
  <c r="H150" i="1"/>
  <c r="M149" i="1"/>
  <c r="L149" i="1"/>
  <c r="K149" i="1"/>
  <c r="J149" i="1"/>
  <c r="I149" i="1"/>
  <c r="H149" i="1"/>
  <c r="M146" i="1"/>
  <c r="L146" i="1"/>
  <c r="K146" i="1"/>
  <c r="J146" i="1"/>
  <c r="I146" i="1"/>
  <c r="H146" i="1"/>
  <c r="M144" i="1"/>
  <c r="L144" i="1"/>
  <c r="K144" i="1"/>
  <c r="J144" i="1"/>
  <c r="I144" i="1"/>
  <c r="H144" i="1"/>
  <c r="M143" i="1"/>
  <c r="L143" i="1"/>
  <c r="K143" i="1"/>
  <c r="J143" i="1"/>
  <c r="I143" i="1"/>
  <c r="H143" i="1"/>
  <c r="M142" i="1"/>
  <c r="L142" i="1"/>
  <c r="K142" i="1"/>
  <c r="J142" i="1"/>
  <c r="I142" i="1"/>
  <c r="H142" i="1"/>
  <c r="M141" i="1"/>
  <c r="L141" i="1"/>
  <c r="K141" i="1"/>
  <c r="J141" i="1"/>
  <c r="I141" i="1"/>
  <c r="H141" i="1"/>
  <c r="M140" i="1"/>
  <c r="L140" i="1"/>
  <c r="K140" i="1"/>
  <c r="J140" i="1"/>
  <c r="I140" i="1"/>
  <c r="H140" i="1"/>
  <c r="M138" i="1"/>
  <c r="L138" i="1"/>
  <c r="K138" i="1"/>
  <c r="J138" i="1"/>
  <c r="I138" i="1"/>
  <c r="H138" i="1"/>
  <c r="M137" i="1"/>
  <c r="L137" i="1"/>
  <c r="K137" i="1"/>
  <c r="J137" i="1"/>
  <c r="I137" i="1"/>
  <c r="H137" i="1"/>
  <c r="M136" i="1"/>
  <c r="L136" i="1"/>
  <c r="K136" i="1"/>
  <c r="J136" i="1"/>
  <c r="I136" i="1"/>
  <c r="H136" i="1"/>
  <c r="M134" i="1"/>
  <c r="L134" i="1"/>
  <c r="K134" i="1"/>
  <c r="J134" i="1"/>
  <c r="I134" i="1"/>
  <c r="H134" i="1"/>
  <c r="M131" i="1"/>
  <c r="L131" i="1"/>
  <c r="K131" i="1"/>
  <c r="J131" i="1"/>
  <c r="I131" i="1"/>
  <c r="H131" i="1"/>
  <c r="M130" i="1"/>
  <c r="L130" i="1"/>
  <c r="K130" i="1"/>
  <c r="J130" i="1"/>
  <c r="I130" i="1"/>
  <c r="H130" i="1"/>
  <c r="M129" i="1"/>
  <c r="L129" i="1"/>
  <c r="K129" i="1"/>
  <c r="J129" i="1"/>
  <c r="I129" i="1"/>
  <c r="H129" i="1"/>
  <c r="M127" i="1"/>
  <c r="L127" i="1"/>
  <c r="K127" i="1"/>
  <c r="J127" i="1"/>
  <c r="I127" i="1"/>
  <c r="H127" i="1"/>
  <c r="M125" i="1"/>
  <c r="L125" i="1"/>
  <c r="K125" i="1"/>
  <c r="J125" i="1"/>
  <c r="I125" i="1"/>
  <c r="H125" i="1"/>
  <c r="M123" i="1"/>
  <c r="L123" i="1"/>
  <c r="K123" i="1"/>
  <c r="J123" i="1"/>
  <c r="I123" i="1"/>
  <c r="H123" i="1"/>
  <c r="M122" i="1"/>
  <c r="L122" i="1"/>
  <c r="K122" i="1"/>
  <c r="J122" i="1"/>
  <c r="I122" i="1"/>
  <c r="H122" i="1"/>
  <c r="M119" i="1"/>
  <c r="L119" i="1"/>
  <c r="K119" i="1"/>
  <c r="J119" i="1"/>
  <c r="I119" i="1"/>
  <c r="H119" i="1"/>
  <c r="M117" i="1"/>
  <c r="L117" i="1"/>
  <c r="K117" i="1"/>
  <c r="J117" i="1"/>
  <c r="I117" i="1"/>
  <c r="H117" i="1"/>
  <c r="M114" i="1"/>
  <c r="L114" i="1"/>
  <c r="K114" i="1"/>
  <c r="J114" i="1"/>
  <c r="I114" i="1"/>
  <c r="H114" i="1"/>
  <c r="M113" i="1"/>
  <c r="L113" i="1"/>
  <c r="K113" i="1"/>
  <c r="J113" i="1"/>
  <c r="I113" i="1"/>
  <c r="H113" i="1"/>
  <c r="M112" i="1"/>
  <c r="L112" i="1"/>
  <c r="K112" i="1"/>
  <c r="J112" i="1"/>
  <c r="I112" i="1"/>
  <c r="H112" i="1"/>
  <c r="M111" i="1"/>
  <c r="L111" i="1"/>
  <c r="K111" i="1"/>
  <c r="J111" i="1"/>
  <c r="I111" i="1"/>
  <c r="H111" i="1"/>
  <c r="M110" i="1"/>
  <c r="L110" i="1"/>
  <c r="K110" i="1"/>
  <c r="J110" i="1"/>
  <c r="I110" i="1"/>
  <c r="H110" i="1"/>
  <c r="M109" i="1"/>
  <c r="L109" i="1"/>
  <c r="K109" i="1"/>
  <c r="J109" i="1"/>
  <c r="I109" i="1"/>
  <c r="H109" i="1"/>
  <c r="M108" i="1"/>
  <c r="L108" i="1"/>
  <c r="K108" i="1"/>
  <c r="J108" i="1"/>
  <c r="I108" i="1"/>
  <c r="H108" i="1"/>
  <c r="M106" i="1"/>
  <c r="L106" i="1"/>
  <c r="K106" i="1"/>
  <c r="J106" i="1"/>
  <c r="I106" i="1"/>
  <c r="H106" i="1"/>
  <c r="M105" i="1"/>
  <c r="L105" i="1"/>
  <c r="K105" i="1"/>
  <c r="J105" i="1"/>
  <c r="I105" i="1"/>
  <c r="H105" i="1"/>
  <c r="M104" i="1"/>
  <c r="L104" i="1"/>
  <c r="K104" i="1"/>
  <c r="J104" i="1"/>
  <c r="I104" i="1"/>
  <c r="H104" i="1"/>
  <c r="M103" i="1"/>
  <c r="L103" i="1"/>
  <c r="K103" i="1"/>
  <c r="J103" i="1"/>
  <c r="I103" i="1"/>
  <c r="H103" i="1"/>
  <c r="M102" i="1"/>
  <c r="L102" i="1"/>
  <c r="K102" i="1"/>
  <c r="J102" i="1"/>
  <c r="I102" i="1"/>
  <c r="H102" i="1"/>
  <c r="M101" i="1"/>
  <c r="L101" i="1"/>
  <c r="K101" i="1"/>
  <c r="J101" i="1"/>
  <c r="I101" i="1"/>
  <c r="H101" i="1"/>
  <c r="M100" i="1"/>
  <c r="L100" i="1"/>
  <c r="K100" i="1"/>
  <c r="J100" i="1"/>
  <c r="I100" i="1"/>
  <c r="H100" i="1"/>
  <c r="M99" i="1"/>
  <c r="L99" i="1"/>
  <c r="K99" i="1"/>
  <c r="J99" i="1"/>
  <c r="I99" i="1"/>
  <c r="H99" i="1"/>
  <c r="M96" i="1"/>
  <c r="L96" i="1"/>
  <c r="K96" i="1"/>
  <c r="J96" i="1"/>
  <c r="I96" i="1"/>
  <c r="H96" i="1"/>
  <c r="M94" i="1"/>
  <c r="L94" i="1"/>
  <c r="K94" i="1"/>
  <c r="J94" i="1"/>
  <c r="I94" i="1"/>
  <c r="H94" i="1"/>
  <c r="M93" i="1"/>
  <c r="L93" i="1"/>
  <c r="K93" i="1"/>
  <c r="J93" i="1"/>
  <c r="I93" i="1"/>
  <c r="H93" i="1"/>
  <c r="M92" i="1"/>
  <c r="L92" i="1"/>
  <c r="K92" i="1"/>
  <c r="J92" i="1"/>
  <c r="I92" i="1"/>
  <c r="H92" i="1"/>
  <c r="M90" i="1"/>
  <c r="L90" i="1"/>
  <c r="K90" i="1"/>
  <c r="J90" i="1"/>
  <c r="I90" i="1"/>
  <c r="H90" i="1"/>
  <c r="M89" i="1"/>
  <c r="L89" i="1"/>
  <c r="K89" i="1"/>
  <c r="J89" i="1"/>
  <c r="I89" i="1"/>
  <c r="H89" i="1"/>
  <c r="M87" i="1"/>
  <c r="L87" i="1"/>
  <c r="K87" i="1"/>
  <c r="J87" i="1"/>
  <c r="I87" i="1"/>
  <c r="H87" i="1"/>
  <c r="M86" i="1"/>
  <c r="L86" i="1"/>
  <c r="K86" i="1"/>
  <c r="J86" i="1"/>
  <c r="I86" i="1"/>
  <c r="H86" i="1"/>
  <c r="M84" i="1"/>
  <c r="L84" i="1"/>
  <c r="K84" i="1"/>
  <c r="J84" i="1"/>
  <c r="I84" i="1"/>
  <c r="H84" i="1"/>
  <c r="M83" i="1"/>
  <c r="L83" i="1"/>
  <c r="K83" i="1"/>
  <c r="J83" i="1"/>
  <c r="I83" i="1"/>
  <c r="H83" i="1"/>
  <c r="M81" i="1"/>
  <c r="L81" i="1"/>
  <c r="K81" i="1"/>
  <c r="J81" i="1"/>
  <c r="I81" i="1"/>
  <c r="H81" i="1"/>
  <c r="M79" i="1"/>
  <c r="L79" i="1"/>
  <c r="K79" i="1"/>
  <c r="J79" i="1"/>
  <c r="I79" i="1"/>
  <c r="H79" i="1"/>
  <c r="M78" i="1"/>
  <c r="L78" i="1"/>
  <c r="K78" i="1"/>
  <c r="J78" i="1"/>
  <c r="I78" i="1"/>
  <c r="H78" i="1"/>
  <c r="M77" i="1"/>
  <c r="L77" i="1"/>
  <c r="K77" i="1"/>
  <c r="J77" i="1"/>
  <c r="I77" i="1"/>
  <c r="H77" i="1"/>
  <c r="M75" i="1"/>
  <c r="L75" i="1"/>
  <c r="K75" i="1"/>
  <c r="J75" i="1"/>
  <c r="I75" i="1"/>
  <c r="H75" i="1"/>
  <c r="M74" i="1"/>
  <c r="L74" i="1"/>
  <c r="K74" i="1"/>
  <c r="J74" i="1"/>
  <c r="I74" i="1"/>
  <c r="H74" i="1"/>
  <c r="M71" i="1"/>
  <c r="L71" i="1"/>
  <c r="K71" i="1"/>
  <c r="J71" i="1"/>
  <c r="I71" i="1"/>
  <c r="H71" i="1"/>
  <c r="M67" i="1"/>
  <c r="L67" i="1"/>
  <c r="K67" i="1"/>
  <c r="J67" i="1"/>
  <c r="I67" i="1"/>
  <c r="H67" i="1"/>
  <c r="M65" i="1"/>
  <c r="L65" i="1"/>
  <c r="K65" i="1"/>
  <c r="J65" i="1"/>
  <c r="I65" i="1"/>
  <c r="H65" i="1"/>
  <c r="M63" i="1"/>
  <c r="L63" i="1"/>
  <c r="K63" i="1"/>
  <c r="J63" i="1"/>
  <c r="I63" i="1"/>
  <c r="H63" i="1"/>
  <c r="M62" i="1"/>
  <c r="L62" i="1"/>
  <c r="K62" i="1"/>
  <c r="J62" i="1"/>
  <c r="I62" i="1"/>
  <c r="H62" i="1"/>
  <c r="M59" i="1"/>
  <c r="L59" i="1"/>
  <c r="K59" i="1"/>
  <c r="J59" i="1"/>
  <c r="I59" i="1"/>
  <c r="H59" i="1"/>
  <c r="M58" i="1"/>
  <c r="L58" i="1"/>
  <c r="K58" i="1"/>
  <c r="J58" i="1"/>
  <c r="I58" i="1"/>
  <c r="H58" i="1"/>
  <c r="M56" i="1"/>
  <c r="L56" i="1"/>
  <c r="K56" i="1"/>
  <c r="J56" i="1"/>
  <c r="I56" i="1"/>
  <c r="H56" i="1"/>
  <c r="M53" i="1"/>
  <c r="L53" i="1"/>
  <c r="K53" i="1"/>
  <c r="J53" i="1"/>
  <c r="I53" i="1"/>
  <c r="H53" i="1"/>
  <c r="M50" i="1"/>
  <c r="L50" i="1"/>
  <c r="K50" i="1"/>
  <c r="J50" i="1"/>
  <c r="I50" i="1"/>
  <c r="H50" i="1"/>
  <c r="M46" i="1"/>
  <c r="L46" i="1"/>
  <c r="K46" i="1"/>
  <c r="J46" i="1"/>
  <c r="I46" i="1"/>
  <c r="H46" i="1"/>
  <c r="M45" i="1"/>
  <c r="L45" i="1"/>
  <c r="K45" i="1"/>
  <c r="J45" i="1"/>
  <c r="I45" i="1"/>
  <c r="H45" i="1"/>
  <c r="M44" i="1"/>
  <c r="L44" i="1"/>
  <c r="K44" i="1"/>
  <c r="J44" i="1"/>
  <c r="I44" i="1"/>
  <c r="H44" i="1"/>
  <c r="M43" i="1"/>
  <c r="L43" i="1"/>
  <c r="K43" i="1"/>
  <c r="J43" i="1"/>
  <c r="I43" i="1"/>
  <c r="H43" i="1"/>
  <c r="M42" i="1"/>
  <c r="L42" i="1"/>
  <c r="K42" i="1"/>
  <c r="J42" i="1"/>
  <c r="I42" i="1"/>
  <c r="H42" i="1"/>
  <c r="M40" i="1"/>
  <c r="L40" i="1"/>
  <c r="K40" i="1"/>
  <c r="J40" i="1"/>
  <c r="I40" i="1"/>
  <c r="H40" i="1"/>
  <c r="M37" i="1"/>
  <c r="L37" i="1"/>
  <c r="K37" i="1"/>
  <c r="J37" i="1"/>
  <c r="I37" i="1"/>
  <c r="H37" i="1"/>
  <c r="M34" i="1"/>
  <c r="L34" i="1"/>
  <c r="K34" i="1"/>
  <c r="J34" i="1"/>
  <c r="I34" i="1"/>
  <c r="H34" i="1"/>
  <c r="M33" i="1"/>
  <c r="L33" i="1"/>
  <c r="K33" i="1"/>
  <c r="J33" i="1"/>
  <c r="I33" i="1"/>
  <c r="H33" i="1"/>
  <c r="M30" i="1"/>
  <c r="L30" i="1"/>
  <c r="K30" i="1"/>
  <c r="J30" i="1"/>
  <c r="I30" i="1"/>
  <c r="H30" i="1"/>
  <c r="M28" i="1"/>
  <c r="L28" i="1"/>
  <c r="K28" i="1"/>
  <c r="J28" i="1"/>
  <c r="I28" i="1"/>
  <c r="H28" i="1"/>
  <c r="M27" i="1"/>
  <c r="L27" i="1"/>
  <c r="K27" i="1"/>
  <c r="J27" i="1"/>
  <c r="I27" i="1"/>
  <c r="H27" i="1"/>
  <c r="M25" i="1"/>
  <c r="L25" i="1"/>
  <c r="K25" i="1"/>
  <c r="J25" i="1"/>
  <c r="I25" i="1"/>
  <c r="H25" i="1"/>
  <c r="M23" i="1"/>
  <c r="L23" i="1"/>
  <c r="K23" i="1"/>
  <c r="J23" i="1"/>
  <c r="I23" i="1"/>
  <c r="H23" i="1"/>
  <c r="M22" i="1"/>
  <c r="L22" i="1"/>
  <c r="K22" i="1"/>
  <c r="J22" i="1"/>
  <c r="I22" i="1"/>
  <c r="H22" i="1"/>
  <c r="M20" i="1"/>
  <c r="L20" i="1"/>
  <c r="K20" i="1"/>
  <c r="J20" i="1"/>
  <c r="I20" i="1"/>
  <c r="H20" i="1"/>
  <c r="M16" i="1"/>
  <c r="L16" i="1"/>
  <c r="K16" i="1"/>
  <c r="J16" i="1"/>
  <c r="I16" i="1"/>
  <c r="H16" i="1"/>
  <c r="M15" i="1"/>
  <c r="L15" i="1"/>
  <c r="K15" i="1"/>
  <c r="J15" i="1"/>
  <c r="I15" i="1"/>
  <c r="H15" i="1"/>
  <c r="M14" i="1"/>
  <c r="L14" i="1"/>
  <c r="K14" i="1"/>
  <c r="J14" i="1"/>
  <c r="I14" i="1"/>
  <c r="H14" i="1"/>
  <c r="M13" i="1"/>
  <c r="L13" i="1"/>
  <c r="K13" i="1"/>
  <c r="J13" i="1"/>
  <c r="I13" i="1"/>
  <c r="H13" i="1"/>
  <c r="M12" i="1"/>
  <c r="L12" i="1"/>
  <c r="K12" i="1"/>
  <c r="J12" i="1"/>
  <c r="I12" i="1"/>
  <c r="H12" i="1"/>
  <c r="M11" i="1"/>
  <c r="L11" i="1"/>
  <c r="K11" i="1"/>
  <c r="J11" i="1"/>
  <c r="I11" i="1"/>
  <c r="H11" i="1"/>
  <c r="H428" i="1" l="1"/>
  <c r="L428" i="1"/>
  <c r="L495" i="1"/>
  <c r="N102" i="1"/>
  <c r="N117" i="1"/>
  <c r="N150" i="1"/>
  <c r="O156" i="1"/>
  <c r="P156" i="1" s="1"/>
  <c r="H420" i="1"/>
  <c r="L420" i="1"/>
  <c r="J420" i="1"/>
  <c r="O494" i="1"/>
  <c r="P494" i="1" s="1"/>
  <c r="O419" i="1"/>
  <c r="P419" i="1" s="1"/>
  <c r="N192" i="1"/>
  <c r="N200" i="1"/>
  <c r="N202" i="1"/>
  <c r="N205" i="1"/>
  <c r="N220" i="1"/>
  <c r="N248" i="1"/>
  <c r="N263" i="1"/>
  <c r="N265" i="1"/>
  <c r="N268" i="1"/>
  <c r="N272" i="1"/>
  <c r="N282" i="1"/>
  <c r="N284" i="1"/>
  <c r="N287" i="1"/>
  <c r="N289" i="1"/>
  <c r="N310" i="1"/>
  <c r="N315" i="1"/>
  <c r="N319" i="1"/>
  <c r="N321" i="1"/>
  <c r="N324" i="1"/>
  <c r="N335" i="1"/>
  <c r="N344" i="1"/>
  <c r="N347" i="1"/>
  <c r="N355" i="1"/>
  <c r="N363" i="1"/>
  <c r="N366" i="1"/>
  <c r="N12" i="1"/>
  <c r="N14" i="1"/>
  <c r="N16" i="1"/>
  <c r="N22" i="1"/>
  <c r="N23" i="1"/>
  <c r="N134" i="1"/>
  <c r="K302" i="1"/>
  <c r="I420" i="1"/>
  <c r="M420" i="1"/>
  <c r="H452" i="1"/>
  <c r="L452" i="1"/>
  <c r="N449" i="1"/>
  <c r="J474" i="1"/>
  <c r="N463" i="1"/>
  <c r="N466" i="1"/>
  <c r="N469" i="1"/>
  <c r="N472" i="1"/>
  <c r="N483" i="1"/>
  <c r="N486" i="1"/>
  <c r="N490" i="1"/>
  <c r="J512" i="1"/>
  <c r="N511" i="1"/>
  <c r="J518" i="1"/>
  <c r="N170" i="1"/>
  <c r="N207" i="1"/>
  <c r="N210" i="1"/>
  <c r="N213" i="1"/>
  <c r="N215" i="1"/>
  <c r="N218" i="1"/>
  <c r="N222" i="1"/>
  <c r="N227" i="1"/>
  <c r="N231" i="1"/>
  <c r="N234" i="1"/>
  <c r="N238" i="1"/>
  <c r="N241" i="1"/>
  <c r="N246" i="1"/>
  <c r="N250" i="1"/>
  <c r="N254" i="1"/>
  <c r="N256" i="1"/>
  <c r="N259" i="1"/>
  <c r="N276" i="1"/>
  <c r="N278" i="1"/>
  <c r="N286" i="1"/>
  <c r="N292" i="1"/>
  <c r="N294" i="1"/>
  <c r="N296" i="1"/>
  <c r="N298" i="1"/>
  <c r="N312" i="1"/>
  <c r="N327" i="1"/>
  <c r="N332" i="1"/>
  <c r="N339" i="1"/>
  <c r="N341" i="1"/>
  <c r="N351" i="1"/>
  <c r="N358" i="1"/>
  <c r="N368" i="1"/>
  <c r="N370" i="1"/>
  <c r="N373" i="1"/>
  <c r="J193" i="1"/>
  <c r="N167" i="1"/>
  <c r="N183" i="1"/>
  <c r="K428" i="1"/>
  <c r="I442" i="1"/>
  <c r="M442" i="1"/>
  <c r="I452" i="1"/>
  <c r="M452" i="1"/>
  <c r="K474" i="1"/>
  <c r="K495" i="1"/>
  <c r="I505" i="1"/>
  <c r="M505" i="1"/>
  <c r="K512" i="1"/>
  <c r="K518" i="1"/>
  <c r="N492" i="1"/>
  <c r="I492" i="1"/>
  <c r="I495" i="1" s="1"/>
  <c r="H492" i="1"/>
  <c r="H495" i="1" s="1"/>
  <c r="J157" i="1"/>
  <c r="N28" i="1"/>
  <c r="N33" i="1"/>
  <c r="N34" i="1"/>
  <c r="N37" i="1"/>
  <c r="N42" i="1"/>
  <c r="N44" i="1"/>
  <c r="N140" i="1"/>
  <c r="N11" i="1"/>
  <c r="N13" i="1"/>
  <c r="N15" i="1"/>
  <c r="N20" i="1"/>
  <c r="K157" i="1"/>
  <c r="N125" i="1"/>
  <c r="N189" i="1"/>
  <c r="N40" i="1"/>
  <c r="N43" i="1"/>
  <c r="N45" i="1"/>
  <c r="N53" i="1"/>
  <c r="L157" i="1"/>
  <c r="N62" i="1"/>
  <c r="N71" i="1"/>
  <c r="N78" i="1"/>
  <c r="N84" i="1"/>
  <c r="N90" i="1"/>
  <c r="N108" i="1"/>
  <c r="N112" i="1"/>
  <c r="N143" i="1"/>
  <c r="I193" i="1"/>
  <c r="M193" i="1"/>
  <c r="N177" i="1"/>
  <c r="N426" i="1"/>
  <c r="N434" i="1"/>
  <c r="O434" i="1" s="1"/>
  <c r="N440" i="1"/>
  <c r="N503" i="1"/>
  <c r="N521" i="1"/>
  <c r="N171" i="1"/>
  <c r="N182" i="1"/>
  <c r="L302" i="1"/>
  <c r="N206" i="1"/>
  <c r="N209" i="1"/>
  <c r="N214" i="1"/>
  <c r="N217" i="1"/>
  <c r="N219" i="1"/>
  <c r="N221" i="1"/>
  <c r="N233" i="1"/>
  <c r="N247" i="1"/>
  <c r="N249" i="1"/>
  <c r="N253" i="1"/>
  <c r="N258" i="1"/>
  <c r="N262" i="1"/>
  <c r="N264" i="1"/>
  <c r="N270" i="1"/>
  <c r="N273" i="1"/>
  <c r="N277" i="1"/>
  <c r="N279" i="1"/>
  <c r="N285" i="1"/>
  <c r="N288" i="1"/>
  <c r="N291" i="1"/>
  <c r="N293" i="1"/>
  <c r="N295" i="1"/>
  <c r="N309" i="1"/>
  <c r="I428" i="1"/>
  <c r="M428" i="1"/>
  <c r="K442" i="1"/>
  <c r="J452" i="1"/>
  <c r="N451" i="1"/>
  <c r="H474" i="1"/>
  <c r="L474" i="1"/>
  <c r="N460" i="1"/>
  <c r="N464" i="1"/>
  <c r="N467" i="1"/>
  <c r="N470" i="1"/>
  <c r="N473" i="1"/>
  <c r="N482" i="1"/>
  <c r="N484" i="1"/>
  <c r="N488" i="1"/>
  <c r="K505" i="1"/>
  <c r="N510" i="1"/>
  <c r="L512" i="1"/>
  <c r="L518" i="1"/>
  <c r="N99" i="1"/>
  <c r="N106" i="1"/>
  <c r="N119" i="1"/>
  <c r="N131" i="1"/>
  <c r="N144" i="1"/>
  <c r="N201" i="1"/>
  <c r="N203" i="1"/>
  <c r="N211" i="1"/>
  <c r="N225" i="1"/>
  <c r="N228" i="1"/>
  <c r="N236" i="1"/>
  <c r="N240" i="1"/>
  <c r="N244" i="1"/>
  <c r="N255" i="1"/>
  <c r="N267" i="1"/>
  <c r="N283" i="1"/>
  <c r="N297" i="1"/>
  <c r="N301" i="1"/>
  <c r="H385" i="1"/>
  <c r="L385" i="1"/>
  <c r="N311" i="1"/>
  <c r="N314" i="1"/>
  <c r="N316" i="1"/>
  <c r="N320" i="1"/>
  <c r="N323" i="1"/>
  <c r="N326" i="1"/>
  <c r="N330" i="1"/>
  <c r="N334" i="1"/>
  <c r="N337" i="1"/>
  <c r="N340" i="1"/>
  <c r="N343" i="1"/>
  <c r="N345" i="1"/>
  <c r="N349" i="1"/>
  <c r="N354" i="1"/>
  <c r="N357" i="1"/>
  <c r="N359" i="1"/>
  <c r="N365" i="1"/>
  <c r="N367" i="1"/>
  <c r="N369" i="1"/>
  <c r="N371" i="1"/>
  <c r="N374" i="1"/>
  <c r="H157" i="1"/>
  <c r="N27" i="1"/>
  <c r="N30" i="1"/>
  <c r="N103" i="1"/>
  <c r="N111" i="1"/>
  <c r="N127" i="1"/>
  <c r="N138" i="1"/>
  <c r="N151" i="1"/>
  <c r="N164" i="1"/>
  <c r="L193" i="1"/>
  <c r="N178" i="1"/>
  <c r="N186" i="1"/>
  <c r="I302" i="1"/>
  <c r="M302" i="1"/>
  <c r="I385" i="1"/>
  <c r="M385" i="1"/>
  <c r="K420" i="1"/>
  <c r="N424" i="1"/>
  <c r="N427" i="1"/>
  <c r="H442" i="1"/>
  <c r="L442" i="1"/>
  <c r="N437" i="1"/>
  <c r="N441" i="1"/>
  <c r="J442" i="1"/>
  <c r="K452" i="1"/>
  <c r="I474" i="1"/>
  <c r="M474" i="1"/>
  <c r="M495" i="1"/>
  <c r="N501" i="1"/>
  <c r="N504" i="1"/>
  <c r="I512" i="1"/>
  <c r="M512" i="1"/>
  <c r="N25" i="1"/>
  <c r="N96" i="1"/>
  <c r="N448" i="1"/>
  <c r="O448" i="1" s="1"/>
  <c r="N50" i="1"/>
  <c r="N89" i="1"/>
  <c r="N114" i="1"/>
  <c r="N123" i="1"/>
  <c r="N130" i="1"/>
  <c r="N142" i="1"/>
  <c r="N149" i="1"/>
  <c r="K193" i="1"/>
  <c r="N181" i="1"/>
  <c r="N46" i="1"/>
  <c r="N58" i="1"/>
  <c r="N65" i="1"/>
  <c r="N75" i="1"/>
  <c r="N81" i="1"/>
  <c r="N87" i="1"/>
  <c r="N93" i="1"/>
  <c r="N100" i="1"/>
  <c r="N104" i="1"/>
  <c r="N109" i="1"/>
  <c r="N113" i="1"/>
  <c r="N122" i="1"/>
  <c r="N129" i="1"/>
  <c r="N136" i="1"/>
  <c r="N141" i="1"/>
  <c r="N146" i="1"/>
  <c r="N152" i="1"/>
  <c r="N162" i="1"/>
  <c r="O162" i="1" s="1"/>
  <c r="N168" i="1"/>
  <c r="N173" i="1"/>
  <c r="N180" i="1"/>
  <c r="N184" i="1"/>
  <c r="N190" i="1"/>
  <c r="N59" i="1"/>
  <c r="N67" i="1"/>
  <c r="N77" i="1"/>
  <c r="N83" i="1"/>
  <c r="N94" i="1"/>
  <c r="N101" i="1"/>
  <c r="N105" i="1"/>
  <c r="N110" i="1"/>
  <c r="N137" i="1"/>
  <c r="N154" i="1"/>
  <c r="N163" i="1"/>
  <c r="N169" i="1"/>
  <c r="N175" i="1"/>
  <c r="N185" i="1"/>
  <c r="N191" i="1"/>
  <c r="H302" i="1"/>
  <c r="N199" i="1"/>
  <c r="O199" i="1" s="1"/>
  <c r="I157" i="1"/>
  <c r="M157" i="1"/>
  <c r="N56" i="1"/>
  <c r="N63" i="1"/>
  <c r="N74" i="1"/>
  <c r="N79" i="1"/>
  <c r="N86" i="1"/>
  <c r="N92" i="1"/>
  <c r="H193" i="1"/>
  <c r="J302" i="1"/>
  <c r="J385" i="1"/>
  <c r="N308" i="1"/>
  <c r="O308" i="1" s="1"/>
  <c r="K385" i="1"/>
  <c r="N378" i="1"/>
  <c r="N381" i="1"/>
  <c r="N383" i="1"/>
  <c r="N392" i="1"/>
  <c r="N395" i="1"/>
  <c r="N397" i="1"/>
  <c r="N401" i="1"/>
  <c r="N403" i="1"/>
  <c r="N405" i="1"/>
  <c r="N408" i="1"/>
  <c r="N410" i="1"/>
  <c r="N413" i="1"/>
  <c r="N415" i="1"/>
  <c r="N417" i="1"/>
  <c r="H512" i="1"/>
  <c r="N377" i="1"/>
  <c r="J428" i="1"/>
  <c r="N379" i="1"/>
  <c r="N382" i="1"/>
  <c r="N384" i="1"/>
  <c r="N394" i="1"/>
  <c r="N396" i="1"/>
  <c r="N399" i="1"/>
  <c r="N402" i="1"/>
  <c r="N404" i="1"/>
  <c r="N407" i="1"/>
  <c r="N409" i="1"/>
  <c r="N412" i="1"/>
  <c r="N414" i="1"/>
  <c r="N416" i="1"/>
  <c r="N418" i="1"/>
  <c r="N459" i="1"/>
  <c r="O459" i="1" s="1"/>
  <c r="J495" i="1"/>
  <c r="N479" i="1"/>
  <c r="O479" i="1" s="1"/>
  <c r="H505" i="1"/>
  <c r="H518" i="1"/>
  <c r="H522" i="1"/>
  <c r="N391" i="1"/>
  <c r="O391" i="1" s="1"/>
  <c r="P391" i="1" l="1"/>
  <c r="P162" i="1"/>
  <c r="P459" i="1"/>
  <c r="O25" i="1"/>
  <c r="N157" i="1"/>
  <c r="P479" i="1"/>
  <c r="P448" i="1"/>
  <c r="P434" i="1"/>
  <c r="P308" i="1"/>
  <c r="P199" i="1"/>
  <c r="O402" i="1"/>
  <c r="P402" i="1" s="1"/>
  <c r="O417" i="1"/>
  <c r="P417" i="1" s="1"/>
  <c r="O408" i="1"/>
  <c r="P408" i="1" s="1"/>
  <c r="O397" i="1"/>
  <c r="P397" i="1" s="1"/>
  <c r="O381" i="1"/>
  <c r="P381" i="1" s="1"/>
  <c r="O74" i="1"/>
  <c r="P74" i="1" s="1"/>
  <c r="O154" i="1"/>
  <c r="P154" i="1" s="1"/>
  <c r="O67" i="1"/>
  <c r="P67" i="1" s="1"/>
  <c r="O152" i="1"/>
  <c r="P152" i="1" s="1"/>
  <c r="O81" i="1"/>
  <c r="P81" i="1" s="1"/>
  <c r="O149" i="1"/>
  <c r="P149" i="1" s="1"/>
  <c r="O96" i="1"/>
  <c r="P96" i="1" s="1"/>
  <c r="O504" i="1"/>
  <c r="P504" i="1" s="1"/>
  <c r="O437" i="1"/>
  <c r="P437" i="1" s="1"/>
  <c r="P442" i="1" s="1"/>
  <c r="O424" i="1"/>
  <c r="O127" i="1"/>
  <c r="P127" i="1" s="1"/>
  <c r="O369" i="1"/>
  <c r="P369" i="1" s="1"/>
  <c r="O343" i="1"/>
  <c r="P343" i="1" s="1"/>
  <c r="O330" i="1"/>
  <c r="P330" i="1" s="1"/>
  <c r="O267" i="1"/>
  <c r="P267" i="1" s="1"/>
  <c r="O293" i="1"/>
  <c r="P293" i="1" s="1"/>
  <c r="O264" i="1"/>
  <c r="P264" i="1" s="1"/>
  <c r="O249" i="1"/>
  <c r="P249" i="1" s="1"/>
  <c r="O206" i="1"/>
  <c r="P206" i="1" s="1"/>
  <c r="O426" i="1"/>
  <c r="P426" i="1" s="1"/>
  <c r="O84" i="1"/>
  <c r="P84" i="1" s="1"/>
  <c r="O40" i="1"/>
  <c r="P40" i="1" s="1"/>
  <c r="O20" i="1"/>
  <c r="P20" i="1" s="1"/>
  <c r="O34" i="1"/>
  <c r="P34" i="1" s="1"/>
  <c r="O358" i="1"/>
  <c r="P358" i="1" s="1"/>
  <c r="O332" i="1"/>
  <c r="P332" i="1" s="1"/>
  <c r="O296" i="1"/>
  <c r="P296" i="1" s="1"/>
  <c r="O278" i="1"/>
  <c r="P278" i="1" s="1"/>
  <c r="O254" i="1"/>
  <c r="P254" i="1" s="1"/>
  <c r="O222" i="1"/>
  <c r="P222" i="1" s="1"/>
  <c r="O210" i="1"/>
  <c r="P210" i="1" s="1"/>
  <c r="O511" i="1"/>
  <c r="P511" i="1" s="1"/>
  <c r="O483" i="1"/>
  <c r="P483" i="1" s="1"/>
  <c r="O134" i="1"/>
  <c r="P134" i="1" s="1"/>
  <c r="O14" i="1"/>
  <c r="P14" i="1" s="1"/>
  <c r="O355" i="1"/>
  <c r="P355" i="1" s="1"/>
  <c r="O324" i="1"/>
  <c r="P324" i="1" s="1"/>
  <c r="O310" i="1"/>
  <c r="P310" i="1" s="1"/>
  <c r="O282" i="1"/>
  <c r="P282" i="1" s="1"/>
  <c r="O263" i="1"/>
  <c r="P263" i="1" s="1"/>
  <c r="O202" i="1"/>
  <c r="P202" i="1" s="1"/>
  <c r="O418" i="1"/>
  <c r="P418" i="1" s="1"/>
  <c r="O409" i="1"/>
  <c r="P409" i="1" s="1"/>
  <c r="O399" i="1"/>
  <c r="P399" i="1" s="1"/>
  <c r="O382" i="1"/>
  <c r="P382" i="1" s="1"/>
  <c r="O415" i="1"/>
  <c r="P415" i="1" s="1"/>
  <c r="O405" i="1"/>
  <c r="P405" i="1" s="1"/>
  <c r="O395" i="1"/>
  <c r="P395" i="1" s="1"/>
  <c r="O378" i="1"/>
  <c r="P378" i="1" s="1"/>
  <c r="N442" i="1"/>
  <c r="O92" i="1"/>
  <c r="P92" i="1" s="1"/>
  <c r="O63" i="1"/>
  <c r="P63" i="1" s="1"/>
  <c r="O175" i="1"/>
  <c r="P175" i="1" s="1"/>
  <c r="O137" i="1"/>
  <c r="P137" i="1" s="1"/>
  <c r="O94" i="1"/>
  <c r="P94" i="1" s="1"/>
  <c r="O59" i="1"/>
  <c r="P59" i="1" s="1"/>
  <c r="O173" i="1"/>
  <c r="P173" i="1" s="1"/>
  <c r="O146" i="1"/>
  <c r="P146" i="1" s="1"/>
  <c r="O122" i="1"/>
  <c r="P122" i="1" s="1"/>
  <c r="O100" i="1"/>
  <c r="P100" i="1" s="1"/>
  <c r="O75" i="1"/>
  <c r="P75" i="1" s="1"/>
  <c r="N428" i="1"/>
  <c r="O142" i="1"/>
  <c r="P142" i="1" s="1"/>
  <c r="O89" i="1"/>
  <c r="P89" i="1" s="1"/>
  <c r="N505" i="1"/>
  <c r="O501" i="1"/>
  <c r="O164" i="1"/>
  <c r="P164" i="1" s="1"/>
  <c r="O111" i="1"/>
  <c r="P111" i="1" s="1"/>
  <c r="O367" i="1"/>
  <c r="P367" i="1" s="1"/>
  <c r="O354" i="1"/>
  <c r="P354" i="1" s="1"/>
  <c r="O340" i="1"/>
  <c r="P340" i="1" s="1"/>
  <c r="O326" i="1"/>
  <c r="P326" i="1" s="1"/>
  <c r="O314" i="1"/>
  <c r="P314" i="1" s="1"/>
  <c r="O301" i="1"/>
  <c r="P301" i="1" s="1"/>
  <c r="O255" i="1"/>
  <c r="P255" i="1" s="1"/>
  <c r="O228" i="1"/>
  <c r="P228" i="1" s="1"/>
  <c r="O201" i="1"/>
  <c r="P201" i="1" s="1"/>
  <c r="P302" i="1" s="1"/>
  <c r="O106" i="1"/>
  <c r="P106" i="1" s="1"/>
  <c r="O510" i="1"/>
  <c r="O482" i="1"/>
  <c r="P482" i="1" s="1"/>
  <c r="O464" i="1"/>
  <c r="P464" i="1" s="1"/>
  <c r="O451" i="1"/>
  <c r="P451" i="1" s="1"/>
  <c r="O291" i="1"/>
  <c r="P291" i="1" s="1"/>
  <c r="O277" i="1"/>
  <c r="P277" i="1" s="1"/>
  <c r="O262" i="1"/>
  <c r="P262" i="1" s="1"/>
  <c r="O247" i="1"/>
  <c r="P247" i="1" s="1"/>
  <c r="O217" i="1"/>
  <c r="P217" i="1" s="1"/>
  <c r="O503" i="1"/>
  <c r="P503" i="1" s="1"/>
  <c r="O177" i="1"/>
  <c r="P177" i="1" s="1"/>
  <c r="O112" i="1"/>
  <c r="P112" i="1" s="1"/>
  <c r="O78" i="1"/>
  <c r="P78" i="1" s="1"/>
  <c r="O53" i="1"/>
  <c r="P53" i="1" s="1"/>
  <c r="O189" i="1"/>
  <c r="P189" i="1" s="1"/>
  <c r="O15" i="1"/>
  <c r="P15" i="1" s="1"/>
  <c r="O44" i="1"/>
  <c r="P44" i="1" s="1"/>
  <c r="O33" i="1"/>
  <c r="P33" i="1" s="1"/>
  <c r="O373" i="1"/>
  <c r="P373" i="1" s="1"/>
  <c r="O351" i="1"/>
  <c r="P351" i="1" s="1"/>
  <c r="O327" i="1"/>
  <c r="P327" i="1" s="1"/>
  <c r="O294" i="1"/>
  <c r="P294" i="1" s="1"/>
  <c r="O276" i="1"/>
  <c r="P276" i="1" s="1"/>
  <c r="O250" i="1"/>
  <c r="P250" i="1" s="1"/>
  <c r="O234" i="1"/>
  <c r="P234" i="1" s="1"/>
  <c r="O218" i="1"/>
  <c r="P218" i="1" s="1"/>
  <c r="O207" i="1"/>
  <c r="P207" i="1" s="1"/>
  <c r="O472" i="1"/>
  <c r="P472" i="1" s="1"/>
  <c r="O23" i="1"/>
  <c r="P23" i="1" s="1"/>
  <c r="O12" i="1"/>
  <c r="P12" i="1" s="1"/>
  <c r="O347" i="1"/>
  <c r="P347" i="1" s="1"/>
  <c r="O321" i="1"/>
  <c r="P321" i="1" s="1"/>
  <c r="O289" i="1"/>
  <c r="P289" i="1" s="1"/>
  <c r="O272" i="1"/>
  <c r="P272" i="1" s="1"/>
  <c r="O248" i="1"/>
  <c r="P248" i="1" s="1"/>
  <c r="O200" i="1"/>
  <c r="P200" i="1" s="1"/>
  <c r="O150" i="1"/>
  <c r="P150" i="1" s="1"/>
  <c r="O384" i="1"/>
  <c r="P384" i="1" s="1"/>
  <c r="O185" i="1"/>
  <c r="P185" i="1" s="1"/>
  <c r="O104" i="1"/>
  <c r="P104" i="1" s="1"/>
  <c r="O27" i="1"/>
  <c r="P27" i="1" s="1"/>
  <c r="O357" i="1"/>
  <c r="P357" i="1" s="1"/>
  <c r="O316" i="1"/>
  <c r="P316" i="1" s="1"/>
  <c r="O236" i="1"/>
  <c r="P236" i="1" s="1"/>
  <c r="O119" i="1"/>
  <c r="P119" i="1" s="1"/>
  <c r="O484" i="1"/>
  <c r="P484" i="1" s="1"/>
  <c r="O279" i="1"/>
  <c r="P279" i="1" s="1"/>
  <c r="O219" i="1"/>
  <c r="P219" i="1" s="1"/>
  <c r="O143" i="1"/>
  <c r="P143" i="1" s="1"/>
  <c r="O140" i="1"/>
  <c r="P140" i="1" s="1"/>
  <c r="O463" i="1"/>
  <c r="P463" i="1" s="1"/>
  <c r="O416" i="1"/>
  <c r="P416" i="1" s="1"/>
  <c r="O407" i="1"/>
  <c r="P407" i="1" s="1"/>
  <c r="O396" i="1"/>
  <c r="P396" i="1" s="1"/>
  <c r="O379" i="1"/>
  <c r="P379" i="1" s="1"/>
  <c r="N512" i="1"/>
  <c r="O413" i="1"/>
  <c r="P413" i="1" s="1"/>
  <c r="O403" i="1"/>
  <c r="P403" i="1" s="1"/>
  <c r="O392" i="1"/>
  <c r="P392" i="1" s="1"/>
  <c r="O86" i="1"/>
  <c r="P86" i="1" s="1"/>
  <c r="O56" i="1"/>
  <c r="P56" i="1" s="1"/>
  <c r="O169" i="1"/>
  <c r="P169" i="1" s="1"/>
  <c r="O110" i="1"/>
  <c r="P110" i="1" s="1"/>
  <c r="O83" i="1"/>
  <c r="P83" i="1" s="1"/>
  <c r="O190" i="1"/>
  <c r="P190" i="1" s="1"/>
  <c r="O168" i="1"/>
  <c r="P168" i="1" s="1"/>
  <c r="O141" i="1"/>
  <c r="P141" i="1" s="1"/>
  <c r="O113" i="1"/>
  <c r="P113" i="1" s="1"/>
  <c r="O93" i="1"/>
  <c r="P93" i="1" s="1"/>
  <c r="O65" i="1"/>
  <c r="P65" i="1" s="1"/>
  <c r="O181" i="1"/>
  <c r="P181" i="1" s="1"/>
  <c r="O130" i="1"/>
  <c r="P130" i="1" s="1"/>
  <c r="O50" i="1"/>
  <c r="P50" i="1" s="1"/>
  <c r="O186" i="1"/>
  <c r="P186" i="1" s="1"/>
  <c r="O151" i="1"/>
  <c r="P151" i="1" s="1"/>
  <c r="O103" i="1"/>
  <c r="P103" i="1" s="1"/>
  <c r="O374" i="1"/>
  <c r="P374" i="1" s="1"/>
  <c r="O365" i="1"/>
  <c r="P365" i="1" s="1"/>
  <c r="O349" i="1"/>
  <c r="P349" i="1" s="1"/>
  <c r="O337" i="1"/>
  <c r="P337" i="1" s="1"/>
  <c r="O323" i="1"/>
  <c r="P323" i="1" s="1"/>
  <c r="O311" i="1"/>
  <c r="P311" i="1" s="1"/>
  <c r="O297" i="1"/>
  <c r="P297" i="1" s="1"/>
  <c r="O244" i="1"/>
  <c r="P244" i="1" s="1"/>
  <c r="O225" i="1"/>
  <c r="P225" i="1" s="1"/>
  <c r="O144" i="1"/>
  <c r="P144" i="1" s="1"/>
  <c r="O99" i="1"/>
  <c r="P99" i="1" s="1"/>
  <c r="O473" i="1"/>
  <c r="P473" i="1" s="1"/>
  <c r="O460" i="1"/>
  <c r="P460" i="1" s="1"/>
  <c r="O309" i="1"/>
  <c r="P309" i="1" s="1"/>
  <c r="P385" i="1" s="1"/>
  <c r="O288" i="1"/>
  <c r="P288" i="1" s="1"/>
  <c r="O273" i="1"/>
  <c r="P273" i="1" s="1"/>
  <c r="O258" i="1"/>
  <c r="P258" i="1" s="1"/>
  <c r="O233" i="1"/>
  <c r="P233" i="1" s="1"/>
  <c r="O214" i="1"/>
  <c r="P214" i="1" s="1"/>
  <c r="O182" i="1"/>
  <c r="P182" i="1" s="1"/>
  <c r="O440" i="1"/>
  <c r="P440" i="1" s="1"/>
  <c r="O108" i="1"/>
  <c r="P108" i="1" s="1"/>
  <c r="O71" i="1"/>
  <c r="P71" i="1" s="1"/>
  <c r="O45" i="1"/>
  <c r="P45" i="1" s="1"/>
  <c r="O125" i="1"/>
  <c r="P125" i="1" s="1"/>
  <c r="O13" i="1"/>
  <c r="P13" i="1" s="1"/>
  <c r="O42" i="1"/>
  <c r="P42" i="1" s="1"/>
  <c r="O28" i="1"/>
  <c r="P28" i="1" s="1"/>
  <c r="O492" i="1"/>
  <c r="P492" i="1" s="1"/>
  <c r="O183" i="1"/>
  <c r="P183" i="1" s="1"/>
  <c r="O370" i="1"/>
  <c r="P370" i="1" s="1"/>
  <c r="O341" i="1"/>
  <c r="P341" i="1" s="1"/>
  <c r="O312" i="1"/>
  <c r="P312" i="1" s="1"/>
  <c r="O292" i="1"/>
  <c r="P292" i="1" s="1"/>
  <c r="O259" i="1"/>
  <c r="P259" i="1" s="1"/>
  <c r="O246" i="1"/>
  <c r="P246" i="1" s="1"/>
  <c r="O231" i="1"/>
  <c r="P231" i="1" s="1"/>
  <c r="O215" i="1"/>
  <c r="P215" i="1" s="1"/>
  <c r="O170" i="1"/>
  <c r="P170" i="1" s="1"/>
  <c r="O490" i="1"/>
  <c r="P490" i="1" s="1"/>
  <c r="O469" i="1"/>
  <c r="P469" i="1" s="1"/>
  <c r="O449" i="1"/>
  <c r="P449" i="1" s="1"/>
  <c r="O22" i="1"/>
  <c r="P22" i="1" s="1"/>
  <c r="O366" i="1"/>
  <c r="P366" i="1" s="1"/>
  <c r="O344" i="1"/>
  <c r="P344" i="1" s="1"/>
  <c r="O319" i="1"/>
  <c r="P319" i="1" s="1"/>
  <c r="O287" i="1"/>
  <c r="P287" i="1" s="1"/>
  <c r="O268" i="1"/>
  <c r="P268" i="1" s="1"/>
  <c r="O220" i="1"/>
  <c r="P220" i="1" s="1"/>
  <c r="O192" i="1"/>
  <c r="P192" i="1" s="1"/>
  <c r="O117" i="1"/>
  <c r="P117" i="1" s="1"/>
  <c r="O412" i="1"/>
  <c r="P412" i="1" s="1"/>
  <c r="O377" i="1"/>
  <c r="P377" i="1" s="1"/>
  <c r="O101" i="1"/>
  <c r="P101" i="1" s="1"/>
  <c r="O180" i="1"/>
  <c r="P180" i="1" s="1"/>
  <c r="O129" i="1"/>
  <c r="P129" i="1" s="1"/>
  <c r="O46" i="1"/>
  <c r="P46" i="1" s="1"/>
  <c r="O114" i="1"/>
  <c r="P114" i="1" s="1"/>
  <c r="O203" i="1"/>
  <c r="P203" i="1" s="1"/>
  <c r="O467" i="1"/>
  <c r="P467" i="1" s="1"/>
  <c r="O238" i="1"/>
  <c r="P238" i="1" s="1"/>
  <c r="O414" i="1"/>
  <c r="P414" i="1" s="1"/>
  <c r="O404" i="1"/>
  <c r="P404" i="1" s="1"/>
  <c r="O394" i="1"/>
  <c r="P394" i="1" s="1"/>
  <c r="O410" i="1"/>
  <c r="P410" i="1" s="1"/>
  <c r="O401" i="1"/>
  <c r="P401" i="1" s="1"/>
  <c r="O383" i="1"/>
  <c r="P383" i="1" s="1"/>
  <c r="O79" i="1"/>
  <c r="P79" i="1" s="1"/>
  <c r="O191" i="1"/>
  <c r="P191" i="1" s="1"/>
  <c r="O163" i="1"/>
  <c r="P163" i="1" s="1"/>
  <c r="O105" i="1"/>
  <c r="P105" i="1" s="1"/>
  <c r="O77" i="1"/>
  <c r="P77" i="1" s="1"/>
  <c r="O184" i="1"/>
  <c r="P184" i="1" s="1"/>
  <c r="O136" i="1"/>
  <c r="P136" i="1" s="1"/>
  <c r="O109" i="1"/>
  <c r="P109" i="1" s="1"/>
  <c r="O87" i="1"/>
  <c r="P87" i="1" s="1"/>
  <c r="O58" i="1"/>
  <c r="P58" i="1" s="1"/>
  <c r="O123" i="1"/>
  <c r="P123" i="1" s="1"/>
  <c r="O441" i="1"/>
  <c r="P441" i="1" s="1"/>
  <c r="O427" i="1"/>
  <c r="P427" i="1" s="1"/>
  <c r="O178" i="1"/>
  <c r="P178" i="1" s="1"/>
  <c r="O138" i="1"/>
  <c r="P138" i="1" s="1"/>
  <c r="O30" i="1"/>
  <c r="P30" i="1" s="1"/>
  <c r="O371" i="1"/>
  <c r="P371" i="1" s="1"/>
  <c r="O359" i="1"/>
  <c r="P359" i="1" s="1"/>
  <c r="O345" i="1"/>
  <c r="P345" i="1" s="1"/>
  <c r="O334" i="1"/>
  <c r="P334" i="1" s="1"/>
  <c r="O320" i="1"/>
  <c r="P320" i="1" s="1"/>
  <c r="O283" i="1"/>
  <c r="P283" i="1" s="1"/>
  <c r="O240" i="1"/>
  <c r="P240" i="1" s="1"/>
  <c r="O211" i="1"/>
  <c r="P211" i="1" s="1"/>
  <c r="O131" i="1"/>
  <c r="P131" i="1" s="1"/>
  <c r="O488" i="1"/>
  <c r="P488" i="1" s="1"/>
  <c r="O470" i="1"/>
  <c r="P470" i="1" s="1"/>
  <c r="O295" i="1"/>
  <c r="P295" i="1" s="1"/>
  <c r="O285" i="1"/>
  <c r="P285" i="1" s="1"/>
  <c r="O270" i="1"/>
  <c r="P270" i="1" s="1"/>
  <c r="O253" i="1"/>
  <c r="P253" i="1" s="1"/>
  <c r="O221" i="1"/>
  <c r="P221" i="1" s="1"/>
  <c r="O209" i="1"/>
  <c r="P209" i="1" s="1"/>
  <c r="O171" i="1"/>
  <c r="P171" i="1" s="1"/>
  <c r="O90" i="1"/>
  <c r="P90" i="1" s="1"/>
  <c r="O62" i="1"/>
  <c r="P62" i="1" s="1"/>
  <c r="O43" i="1"/>
  <c r="P43" i="1" s="1"/>
  <c r="O11" i="1"/>
  <c r="P11" i="1" s="1"/>
  <c r="O37" i="1"/>
  <c r="P37" i="1" s="1"/>
  <c r="O167" i="1"/>
  <c r="P167" i="1" s="1"/>
  <c r="O368" i="1"/>
  <c r="P368" i="1" s="1"/>
  <c r="O339" i="1"/>
  <c r="P339" i="1" s="1"/>
  <c r="O298" i="1"/>
  <c r="P298" i="1" s="1"/>
  <c r="O286" i="1"/>
  <c r="P286" i="1" s="1"/>
  <c r="O256" i="1"/>
  <c r="P256" i="1" s="1"/>
  <c r="O241" i="1"/>
  <c r="P241" i="1" s="1"/>
  <c r="O227" i="1"/>
  <c r="P227" i="1" s="1"/>
  <c r="O213" i="1"/>
  <c r="P213" i="1" s="1"/>
  <c r="O486" i="1"/>
  <c r="P486" i="1" s="1"/>
  <c r="O466" i="1"/>
  <c r="P466" i="1" s="1"/>
  <c r="O16" i="1"/>
  <c r="P16" i="1" s="1"/>
  <c r="O363" i="1"/>
  <c r="P363" i="1" s="1"/>
  <c r="O335" i="1"/>
  <c r="P335" i="1" s="1"/>
  <c r="O315" i="1"/>
  <c r="P315" i="1" s="1"/>
  <c r="O284" i="1"/>
  <c r="P284" i="1" s="1"/>
  <c r="O265" i="1"/>
  <c r="P265" i="1" s="1"/>
  <c r="O205" i="1"/>
  <c r="P205" i="1" s="1"/>
  <c r="O102" i="1"/>
  <c r="P102" i="1" s="1"/>
  <c r="P521" i="1"/>
  <c r="P522" i="1" s="1"/>
  <c r="O521" i="1"/>
  <c r="O522" i="1" s="1"/>
  <c r="N522" i="1"/>
  <c r="N518" i="1"/>
  <c r="P518" i="1"/>
  <c r="N474" i="1"/>
  <c r="N385" i="1"/>
  <c r="N193" i="1"/>
  <c r="N420" i="1"/>
  <c r="N452" i="1"/>
  <c r="N495" i="1"/>
  <c r="N302" i="1"/>
  <c r="O385" i="1" l="1"/>
  <c r="O452" i="1"/>
  <c r="O193" i="1"/>
  <c r="P510" i="1"/>
  <c r="P512" i="1" s="1"/>
  <c r="O512" i="1"/>
  <c r="O157" i="1"/>
  <c r="P25" i="1"/>
  <c r="O505" i="1"/>
  <c r="P501" i="1"/>
  <c r="P505" i="1" s="1"/>
  <c r="O428" i="1"/>
  <c r="P424" i="1"/>
  <c r="P428" i="1" s="1"/>
  <c r="O302" i="1"/>
  <c r="O442" i="1"/>
  <c r="O495" i="1"/>
  <c r="O474" i="1"/>
  <c r="O420" i="1"/>
  <c r="P495" i="1"/>
  <c r="P420" i="1"/>
  <c r="P452" i="1"/>
  <c r="P193" i="1"/>
  <c r="P474" i="1"/>
</calcChain>
</file>

<file path=xl/sharedStrings.xml><?xml version="1.0" encoding="utf-8"?>
<sst xmlns="http://schemas.openxmlformats.org/spreadsheetml/2006/main" count="1288" uniqueCount="1102">
  <si>
    <t>Утверждаю</t>
  </si>
  <si>
    <t>Директор ООО УК ЖКХ "Авиастроительного района"</t>
  </si>
  <si>
    <t>Смета расходов на десятиэтажный жилой дом</t>
  </si>
  <si>
    <t>№ ПП</t>
  </si>
  <si>
    <t>КОД</t>
  </si>
  <si>
    <t>НАЗВАНИЕ РАБОТЫ</t>
  </si>
  <si>
    <t>ИЗМЕРИТЕЛЬ</t>
  </si>
  <si>
    <t>КОЛ-ВО ЕД. ИЗМ.</t>
  </si>
  <si>
    <t>ПЕРИОДИЧ- НОСТЬ В ГОД</t>
  </si>
  <si>
    <t>ТРУД. РЕСУРСЫ, РУБ.</t>
  </si>
  <si>
    <t>МАТЕР. РЕСУРСЫ, РУБ.</t>
  </si>
  <si>
    <t>МАШ. МЕХ., РУБ.</t>
  </si>
  <si>
    <t>НАКЛ. РАСХОДЫ, РУБ.</t>
  </si>
  <si>
    <t>ПРИБЫЛЬ, РУБ.</t>
  </si>
  <si>
    <t>РАСХОДЫ НА УПРАВ., РУБ.</t>
  </si>
  <si>
    <t>СТОИМОСТЬ, РУБ.</t>
  </si>
  <si>
    <t>НА КВ.М/МЕС</t>
  </si>
  <si>
    <t>Техническое обслуживание и ремонт жилого здания</t>
  </si>
  <si>
    <t>Дата изменения:</t>
  </si>
  <si>
    <t>Общая площадь, кв.м:</t>
  </si>
  <si>
    <t>1.1</t>
  </si>
  <si>
    <t>Фундаменты</t>
  </si>
  <si>
    <t>1.1.4</t>
  </si>
  <si>
    <t>Прочистка внутридомовых и наружных  дренажей</t>
  </si>
  <si>
    <t>1 пролет</t>
  </si>
  <si>
    <t>1.1.8</t>
  </si>
  <si>
    <t>Восстановление (ремонт)  решеток на  продухах  фундамента</t>
  </si>
  <si>
    <t>100 решеток</t>
  </si>
  <si>
    <t>1.1.9</t>
  </si>
  <si>
    <t>Восстановление (ремонт)  приямков</t>
  </si>
  <si>
    <t>кв.м. приямка</t>
  </si>
  <si>
    <t>1.1.10</t>
  </si>
  <si>
    <t>Восстановление (ремонт) отмостки</t>
  </si>
  <si>
    <t>100 м2 отмостки</t>
  </si>
  <si>
    <t>1.1.12</t>
  </si>
  <si>
    <t>Восстановление (ремонт) вводов инженерных коммуникаций   в подвальные  помещения  через  фундаменты</t>
  </si>
  <si>
    <t>100 шт.</t>
  </si>
  <si>
    <t>1.1.14</t>
  </si>
  <si>
    <t>Заделка на зиму вентиляционных продухов</t>
  </si>
  <si>
    <t>1 место</t>
  </si>
  <si>
    <t>1.2</t>
  </si>
  <si>
    <t>Кирпичные, каменные и железобетонные стены</t>
  </si>
  <si>
    <t>1.2.1</t>
  </si>
  <si>
    <t>Устранение повреждений стен, в том числе в подвалах и чердаках</t>
  </si>
  <si>
    <t>1.2.1.1</t>
  </si>
  <si>
    <t>Устранение  повреждений кирпичных  стен, в том  числе в  подвалах и  чердаках</t>
  </si>
  <si>
    <t>1.2.1.1.4</t>
  </si>
  <si>
    <t>Ремонт кирпичной кладки карниза (с выносом в 2 1/2 кирпича)</t>
  </si>
  <si>
    <t>1 м3 кладки</t>
  </si>
  <si>
    <t>1.2.1.1.5</t>
  </si>
  <si>
    <t>Ремонт поверхности кирпичных стен</t>
  </si>
  <si>
    <t>1.2.1.1.5.1</t>
  </si>
  <si>
    <t>Ремонт поверхности кирпичных стен с расшивкой швов и толщиной заделки до 1/2 кирпича</t>
  </si>
  <si>
    <t>100 м2 отремонтированной поверхности</t>
  </si>
  <si>
    <t>1.2.1.1.5.2</t>
  </si>
  <si>
    <t>Ремонт поверхности кирпичных стен с расшивкой швов и толщиной заделки до 1 кирпича</t>
  </si>
  <si>
    <t>1.2.1.1.5.5</t>
  </si>
  <si>
    <t>Заделка борозд в кирпичных стенах</t>
  </si>
  <si>
    <t>1.2.1.1.5.5.3</t>
  </si>
  <si>
    <t>Заделка борозд в кирпичных стенах с сечением борозд  в кирпичах 1х1,5</t>
  </si>
  <si>
    <t>100 м борозды</t>
  </si>
  <si>
    <t>1.2.1.1.5.8</t>
  </si>
  <si>
    <t>Ремонт наружных углов кирпичных стен</t>
  </si>
  <si>
    <t>1.2.1.1.5.8.1</t>
  </si>
  <si>
    <t>Ремонт наружных углов кирпичных стен при толщине заделки до 1/2 кирпича</t>
  </si>
  <si>
    <t>100 м2  отремонтированной поверхности</t>
  </si>
  <si>
    <t>1.2.1.1.5.8.2</t>
  </si>
  <si>
    <t>Ремонт наружных углов кирпичных стен при толщине заделки до 1  кирпича</t>
  </si>
  <si>
    <t>1.2.5</t>
  </si>
  <si>
    <t>Восстановление несущей способности  стен</t>
  </si>
  <si>
    <t>1.2.5.6</t>
  </si>
  <si>
    <t>Усиление кирпичных стен металлическими тяжами</t>
  </si>
  <si>
    <t>на 1 т металлических тяжей</t>
  </si>
  <si>
    <t>1.2.9</t>
  </si>
  <si>
    <t>Восстановление (ремонт) разрушений и  повреждений отделочного   слоя</t>
  </si>
  <si>
    <t>1.2.9.4</t>
  </si>
  <si>
    <t>Ремонт обыкновенной штукатурки кирпичных и бетонных фасадов</t>
  </si>
  <si>
    <t>1.2.9.4.1</t>
  </si>
  <si>
    <t>Ремонт обыкновенной штукатурки гладких каменных фасадов</t>
  </si>
  <si>
    <t>1.2.9.4.2</t>
  </si>
  <si>
    <t>Ремонт обыкновенной штукатурки гладких бетонных  фасадов</t>
  </si>
  <si>
    <t>1.2.12</t>
  </si>
  <si>
    <t>Окраска  фасадов</t>
  </si>
  <si>
    <t>1.2.12.4</t>
  </si>
  <si>
    <t>Окрашивание фасадов силикатными красками</t>
  </si>
  <si>
    <t>1.2.12.4.1</t>
  </si>
  <si>
    <t>Окрашивание гладких кирпичных фасадов силикатными красками</t>
  </si>
  <si>
    <t>100 м2 обработанной поверхности</t>
  </si>
  <si>
    <t>1.2.17</t>
  </si>
  <si>
    <t>Окраска стен  помещений  общего  пользования</t>
  </si>
  <si>
    <t>1.2.17.4</t>
  </si>
  <si>
    <t>Окрашивание поверхностей стен водоэмульсионными составами</t>
  </si>
  <si>
    <t>1.2.17.4.3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</si>
  <si>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</si>
  <si>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100 м2 окрашиваемой поверхности</t>
  </si>
  <si>
    <t>1.2.18</t>
  </si>
  <si>
    <t>Внутренняя отделка зданий</t>
  </si>
  <si>
    <t>1.2.18.1</t>
  </si>
  <si>
    <t>Ремонт внутренней штукатурки потолков отдельными местами</t>
  </si>
  <si>
    <t>100 кв. м</t>
  </si>
  <si>
    <t>1.2.18.3</t>
  </si>
  <si>
    <t>Перетирка штукатурки поверхности потолков</t>
  </si>
  <si>
    <t>100 кв.м</t>
  </si>
  <si>
    <t>1.2.18.11</t>
  </si>
  <si>
    <t>Окрашивание водоэмульсионными составами поверхностей потолков, ранее окрашенных водоэмульсионной краской с расчисткой старой краски более 35%</t>
  </si>
  <si>
    <t>1.2.18.12</t>
  </si>
  <si>
    <t>Перетирка штукатурки поверхностей стен и перегородок</t>
  </si>
  <si>
    <t>100 м2 поверхности</t>
  </si>
  <si>
    <t>1.2.19</t>
  </si>
  <si>
    <t>Установка групповых металлических почтовых ящиков на 6 отделений</t>
  </si>
  <si>
    <t>1 ящик</t>
  </si>
  <si>
    <t>1.5</t>
  </si>
  <si>
    <t>Перекрытия</t>
  </si>
  <si>
    <t>1.5.1</t>
  </si>
  <si>
    <t>Устранение  повреждений перекрытий</t>
  </si>
  <si>
    <t>1.5.1.2</t>
  </si>
  <si>
    <t>Заделка борозд в бетонных перекрытиях</t>
  </si>
  <si>
    <t>1.5.1.2.3</t>
  </si>
  <si>
    <t>Заделка борозд на потолках  бетонных перекрытий при сечении 10х10</t>
  </si>
  <si>
    <t>1 м3 заделки</t>
  </si>
  <si>
    <t>1.5.6</t>
  </si>
  <si>
    <t>Ремонт  перекрытий,  пораженных  древесными  домовыми  грибками  и/или  дереворазрушающими  насекомыми</t>
  </si>
  <si>
    <t>1.5.6.2</t>
  </si>
  <si>
    <t>Антисептирование древесины с перерывом на просушку</t>
  </si>
  <si>
    <t>1.5.6.2.5</t>
  </si>
  <si>
    <t>Антисептирование древесины  маслянистыми антисептиками в два слоя</t>
  </si>
  <si>
    <t>1.6</t>
  </si>
  <si>
    <t>Полы</t>
  </si>
  <si>
    <t>1.6.1</t>
  </si>
  <si>
    <t>Устранение  повреждений  полов в  местах  общего  пользования  многоквартирного дома</t>
  </si>
  <si>
    <t>1.6.1.1</t>
  </si>
  <si>
    <t>Заделка выбоин в цементных полах</t>
  </si>
  <si>
    <t>кв.м.</t>
  </si>
  <si>
    <t>1.6.4</t>
  </si>
  <si>
    <t>Ремонт полов</t>
  </si>
  <si>
    <t>1.6.4.4</t>
  </si>
  <si>
    <t>Ремонт бетонных полов</t>
  </si>
  <si>
    <t>1.6.4.5</t>
  </si>
  <si>
    <t>Ремонт поверхности цементных полов</t>
  </si>
  <si>
    <t>1.7</t>
  </si>
  <si>
    <t>Перегородки</t>
  </si>
  <si>
    <t>1.7.1</t>
  </si>
  <si>
    <t>Восстановление (ремонт),  модернизация  звукоизоляционных  свойств   перегородок</t>
  </si>
  <si>
    <t>1.7.1.5</t>
  </si>
  <si>
    <t>Заделка трещин, отверстий в кирпичных перегородках цементным раствором</t>
  </si>
  <si>
    <t>10 м трещин</t>
  </si>
  <si>
    <t>1.7.1.8</t>
  </si>
  <si>
    <t>Смена поврежденной обшивки перегородок звукоизоляционными плитами</t>
  </si>
  <si>
    <t>100 кв.м.</t>
  </si>
  <si>
    <t>1.7.4</t>
  </si>
  <si>
    <t>Устранение  повреждений  перегородок,  ликвидация  излишнего  наклона или  выпучивания  перегородок</t>
  </si>
  <si>
    <t>1.7.4.7</t>
  </si>
  <si>
    <t>Укрепление слабодержащихся кирпичей</t>
  </si>
  <si>
    <t> 1 м2  отремонтированной поверхности </t>
  </si>
  <si>
    <t>1.7.5</t>
  </si>
  <si>
    <t>Восстановление  облицовки  перегородок</t>
  </si>
  <si>
    <t>1.7.5.7</t>
  </si>
  <si>
    <t>Восстановление (ремонт) штукатурки кирпичных, железобетонных и гипсокартонных перегородок цементно-известковым раствором площадью отдельных мест до 1 кв.м.</t>
  </si>
  <si>
    <t>1.8</t>
  </si>
  <si>
    <t>Крыши и кровли</t>
  </si>
  <si>
    <t>1.8.1</t>
  </si>
  <si>
    <t>Устранение протечек кровли</t>
  </si>
  <si>
    <t>1.8.1.3</t>
  </si>
  <si>
    <t>Устранение  протечек рулонной кровли</t>
  </si>
  <si>
    <t>1.8.1.3.1</t>
  </si>
  <si>
    <t>Постановка заплат на покрытия из мягкой кровли</t>
  </si>
  <si>
    <t>100 м2 покрытий</t>
  </si>
  <si>
    <t>1.8.2</t>
  </si>
  <si>
    <t>Ремонт, модернизация кровли и крыши</t>
  </si>
  <si>
    <t>1.8.2.2</t>
  </si>
  <si>
    <t>Ремонт, модернизация рулонной кровли</t>
  </si>
  <si>
    <t>1.8.2.2.1</t>
  </si>
  <si>
    <t>Смена мягкой кровли в два слоя отдельными местами</t>
  </si>
  <si>
    <t>100 м2 сменяемого покрытия</t>
  </si>
  <si>
    <t>1.8.2.2.2</t>
  </si>
  <si>
    <t>Смена стальных разжелобков в рулонных  кровлях</t>
  </si>
  <si>
    <t>100 м разжелобка</t>
  </si>
  <si>
    <t>1.8.6</t>
  </si>
  <si>
    <t>Восстановление (ремонт)  продухов  вентиляции</t>
  </si>
  <si>
    <t>1.8.6.1</t>
  </si>
  <si>
    <t>Смена вентиляционной решетки</t>
  </si>
  <si>
    <t>10 решеток</t>
  </si>
  <si>
    <t>1.8.6.2</t>
  </si>
  <si>
    <t>Ремонт продухов вентиляции</t>
  </si>
  <si>
    <t>1.8.6.3</t>
  </si>
  <si>
    <t>Окраска продухов вентиляции</t>
  </si>
  <si>
    <t>1.8.7</t>
  </si>
  <si>
    <t>Восстановление (ремонт) дымовых и  вентиляционных труб</t>
  </si>
  <si>
    <t>1.8.7.6</t>
  </si>
  <si>
    <t>Оштукатуривание поверхности дымовых труб</t>
  </si>
  <si>
    <t xml:space="preserve">100 м2 поверхности </t>
  </si>
  <si>
    <t>1.8.9</t>
  </si>
  <si>
    <t>Восстановление (ремонт) выходов на крышу</t>
  </si>
  <si>
    <t>1.8.9.2</t>
  </si>
  <si>
    <t>Окраска деревянных лестниц и  дверей выхода на крышу</t>
  </si>
  <si>
    <t>100 м2 окрашенной поверхности</t>
  </si>
  <si>
    <t>1.8.9.3</t>
  </si>
  <si>
    <t>1.8.10</t>
  </si>
  <si>
    <t>Восстановление (ремонт) парапетов, архитектурных деталей и т.д.</t>
  </si>
  <si>
    <t>1.8.10.1</t>
  </si>
  <si>
    <t>Смена покрытия  парапетов или брандмауэров без обделки боковых сторон при ширине покрытия до 1 м</t>
  </si>
  <si>
    <t>100 м</t>
  </si>
  <si>
    <t>1.8.10.3</t>
  </si>
  <si>
    <t>Смена покрытия   зонтов и козырьков над крыльцами и подъездами</t>
  </si>
  <si>
    <t>100 м2 объема работ</t>
  </si>
  <si>
    <t>1.8.12</t>
  </si>
  <si>
    <t>Ремонт примыканий и заделка стыков</t>
  </si>
  <si>
    <t>1.8.12.1</t>
  </si>
  <si>
    <t>Смена обделок примыканий из листовой стали к каменным стенам</t>
  </si>
  <si>
    <t>1.8.12.4</t>
  </si>
  <si>
    <t>Смена обделок примыканий из листовой стали к  вытяжным  трубам длиной до 1 м</t>
  </si>
  <si>
    <t>100 труб</t>
  </si>
  <si>
    <t>1.8.13</t>
  </si>
  <si>
    <t>Ремонт, утепление дверей с лестничных площадок на чердак</t>
  </si>
  <si>
    <t>1.8.13.1</t>
  </si>
  <si>
    <t>Масляная окраска ранее окрашенных поверхностей</t>
  </si>
  <si>
    <t>1.8.13.2</t>
  </si>
  <si>
    <t>Восстановление тепловой изоляции дверей</t>
  </si>
  <si>
    <t>100 дверей</t>
  </si>
  <si>
    <t>1.8.13.3</t>
  </si>
  <si>
    <t>Замена обивки дверей стальным листом</t>
  </si>
  <si>
    <t>100  м2 двери</t>
  </si>
  <si>
    <t>1.8.14</t>
  </si>
  <si>
    <t>Утепление кровли</t>
  </si>
  <si>
    <t>1.8.14.2</t>
  </si>
  <si>
    <t>Утепление покрытий плитами из минеральной ваты или перлита на битумной мастике на каждый последующий слой толщиной 50 мм</t>
  </si>
  <si>
    <t>100 кв.м утепляемой поверхности</t>
  </si>
  <si>
    <t>1.9</t>
  </si>
  <si>
    <t>Оконные и дверные проемы</t>
  </si>
  <si>
    <t>1.9.1</t>
  </si>
  <si>
    <t>Восстановление (ремонт) дверей в помещениях  общего  пользования</t>
  </si>
  <si>
    <t>1.9.1.4</t>
  </si>
  <si>
    <t>Ремонт дверных коробок в узких каменных стенах</t>
  </si>
  <si>
    <t>10 коробок</t>
  </si>
  <si>
    <t>1.9.1.10</t>
  </si>
  <si>
    <t>Смена дверных петель при одной сменяемой петле в полотне</t>
  </si>
  <si>
    <t>10 петель</t>
  </si>
  <si>
    <t>1.9.1.11</t>
  </si>
  <si>
    <t>Смена дверных петель при двух сменяемых петлях в полотне</t>
  </si>
  <si>
    <t>1.9.1.15</t>
  </si>
  <si>
    <t>Укрепление наличников дверных проемов</t>
  </si>
  <si>
    <t>1 п.м. наличника</t>
  </si>
  <si>
    <t>1.9.1.17</t>
  </si>
  <si>
    <t>Смена ручки дверной</t>
  </si>
  <si>
    <t>1 ручка</t>
  </si>
  <si>
    <t>1.9.1.18</t>
  </si>
  <si>
    <t>Смена щеколды</t>
  </si>
  <si>
    <t>100 щеколд</t>
  </si>
  <si>
    <t>1.9.1.19</t>
  </si>
  <si>
    <t>Смена замков накладных</t>
  </si>
  <si>
    <t>100 замков</t>
  </si>
  <si>
    <t>1.9.1.20</t>
  </si>
  <si>
    <t>Смена замков врезных</t>
  </si>
  <si>
    <t>1.9.2</t>
  </si>
  <si>
    <t>Восстановление (ремонт)  окон в  помещениях общего  пользования</t>
  </si>
  <si>
    <t>1.9.2.4</t>
  </si>
  <si>
    <t>Ремонт оконных переплетов узких одинарных коробок</t>
  </si>
  <si>
    <t>10 створок</t>
  </si>
  <si>
    <t>1.9.2.11</t>
  </si>
  <si>
    <t>Смена оконных петель при двух сменяемых петлях в створке</t>
  </si>
  <si>
    <t>1.9.2.22</t>
  </si>
  <si>
    <t>Временная замена разбитого стекла фанерой</t>
  </si>
  <si>
    <t>10 кв.м.</t>
  </si>
  <si>
    <t>1.9.2.23</t>
  </si>
  <si>
    <t>Смена ручки оконной</t>
  </si>
  <si>
    <t>100 ручек</t>
  </si>
  <si>
    <t>1.9.2.24</t>
  </si>
  <si>
    <t>Смена задвижки</t>
  </si>
  <si>
    <t>100 задвижек</t>
  </si>
  <si>
    <t>1.9.2.26</t>
  </si>
  <si>
    <t>Улучшенная масляная окраска оконных рам</t>
  </si>
  <si>
    <t>1.9.2.33</t>
  </si>
  <si>
    <t>Остекление оконным стеклом окон в два переплета открывающихся в одну сторону</t>
  </si>
  <si>
    <t>100 м2 площади проемов по наружному обводу коробок</t>
  </si>
  <si>
    <t>1.10</t>
  </si>
  <si>
    <t>Лестницы</t>
  </si>
  <si>
    <t>1.10.1</t>
  </si>
  <si>
    <t>Ремонт  металлических косоуров</t>
  </si>
  <si>
    <t>1.10.1.2</t>
  </si>
  <si>
    <t>Оштукатуривание металлических косоуров</t>
  </si>
  <si>
    <t>100 м2 оштукатуренной поверхности</t>
  </si>
  <si>
    <t>1.10.3</t>
  </si>
  <si>
    <t>Ремонт  ограждений,  поручней и  предохранительных  сеток</t>
  </si>
  <si>
    <t>1.10.3.1</t>
  </si>
  <si>
    <t>Ремонт металлических лестничных решеток</t>
  </si>
  <si>
    <t>100 м решетки</t>
  </si>
  <si>
    <t>1.10.4</t>
  </si>
  <si>
    <t>Ремонт,  замена  перил</t>
  </si>
  <si>
    <t>1.10.4.1</t>
  </si>
  <si>
    <t>Смена отдельных частей поручней</t>
  </si>
  <si>
    <t>1.10.4.1.1</t>
  </si>
  <si>
    <t>Смена прямых  частей поручней</t>
  </si>
  <si>
    <t>1.10.4.1.2</t>
  </si>
  <si>
    <t>Смена закругленных  частей поручней</t>
  </si>
  <si>
    <t>1.10.5</t>
  </si>
  <si>
    <t>Окраска  металлических  элементов  лестниц</t>
  </si>
  <si>
    <t>1.10.5.2</t>
  </si>
  <si>
    <t>Окраска масляными составами ранее окрашенных металлических решеток без рельефа за 2 раза</t>
  </si>
  <si>
    <t xml:space="preserve"> 100 м2 окрашиваемой поверхности</t>
  </si>
  <si>
    <t>1.10.6</t>
  </si>
  <si>
    <t>Ремонт  пандусов</t>
  </si>
  <si>
    <t>1.10.6.1</t>
  </si>
  <si>
    <t>Заделка трещин и мелких выбоин</t>
  </si>
  <si>
    <t>100 мест</t>
  </si>
  <si>
    <t>1.10.7</t>
  </si>
  <si>
    <t>Прочие работы по ремонту лестниц</t>
  </si>
  <si>
    <t>1.10.7.1</t>
  </si>
  <si>
    <t>Окрашивание масляными составами торцов лестничных маршей и площадок</t>
  </si>
  <si>
    <t>1.10.7.2</t>
  </si>
  <si>
    <t>Окрашивание масляными составами деревянных поручней</t>
  </si>
  <si>
    <t>100  м поручня</t>
  </si>
  <si>
    <t>1.10.7.3</t>
  </si>
  <si>
    <t>Заделка выбоин в каменных ступенях</t>
  </si>
  <si>
    <t>100 м2 заделанной поверхности</t>
  </si>
  <si>
    <t>2.6</t>
  </si>
  <si>
    <t>Подготовка многоквартирного дома к сезонной эксплуатации, проведение технических осмотров</t>
  </si>
  <si>
    <t>2.6.3</t>
  </si>
  <si>
    <t>Замена разбитых стекол окон и дверей в помещениях общего пользования</t>
  </si>
  <si>
    <t>2.6.3.4</t>
  </si>
  <si>
    <t>Смена стекол на штапиках по замазке</t>
  </si>
  <si>
    <t>100 м фальца</t>
  </si>
  <si>
    <t>2.6.6</t>
  </si>
  <si>
    <t>Проверка состояния и ремонт продухов в цоколях зданий</t>
  </si>
  <si>
    <t>2.6.6.1</t>
  </si>
  <si>
    <t>Оштукатуривание продухов</t>
  </si>
  <si>
    <t xml:space="preserve">  1 м2 ремонтируемой поверхности</t>
  </si>
  <si>
    <t>2.6.6.2</t>
  </si>
  <si>
    <t>Перетирка штукатурки поверхностей</t>
  </si>
  <si>
    <t>2.6.6.3</t>
  </si>
  <si>
    <t>Окраска  продухов</t>
  </si>
  <si>
    <t>100 м2 ремонтируемой поверхности</t>
  </si>
  <si>
    <t>2.6.8</t>
  </si>
  <si>
    <t>Проведение технических осмотров и мелкий ремонт стен, полов, перекрытий</t>
  </si>
  <si>
    <t>2.6.8.1</t>
  </si>
  <si>
    <t>Осмотр территории вокруг здания и фундамента</t>
  </si>
  <si>
    <t>1000 кв.м. общей площади</t>
  </si>
  <si>
    <t>2.6.8.2</t>
  </si>
  <si>
    <t>Осмотр кирпичных и железобетонных стен, фасадов</t>
  </si>
  <si>
    <t>2.6.8.6</t>
  </si>
  <si>
    <t>Осмотр железобетонных перекрытий</t>
  </si>
  <si>
    <t>1000 кв.м. полов</t>
  </si>
  <si>
    <t>2.6.8.8</t>
  </si>
  <si>
    <t>Осмотр внутренней отделки стен</t>
  </si>
  <si>
    <t>2.6.8.9</t>
  </si>
  <si>
    <t>Осмотр заполнения дверных и оконных проемов</t>
  </si>
  <si>
    <t>2.6.9</t>
  </si>
  <si>
    <t>Осмотр всех элементов кровли, водостоков</t>
  </si>
  <si>
    <t>2.6.9.1</t>
  </si>
  <si>
    <t>Осмотр всех элементов стальных кровель, водостоков</t>
  </si>
  <si>
    <t>1000 кв.м. кровли</t>
  </si>
  <si>
    <t>3.2</t>
  </si>
  <si>
    <t>Уборка земельного участка, входящего в состав общего имущества многоквартирного дома</t>
  </si>
  <si>
    <t>3.2.4</t>
  </si>
  <si>
    <t>Подрезка деревьев и кустов</t>
  </si>
  <si>
    <t>3.2.4.1</t>
  </si>
  <si>
    <t>Формовочная обрезка деревьев высотой более 5 м</t>
  </si>
  <si>
    <t>100 деревьев</t>
  </si>
  <si>
    <t>3.2.4.2</t>
  </si>
  <si>
    <t>Вырезка сухих ветвей и поросли</t>
  </si>
  <si>
    <t>3.2.4.4</t>
  </si>
  <si>
    <t>Формирование кроны кустарников</t>
  </si>
  <si>
    <t>1000 кустов</t>
  </si>
  <si>
    <t>3.2.4.7</t>
  </si>
  <si>
    <t>Формовочная обрезка деревьев высотой до 5 м</t>
  </si>
  <si>
    <t>3.2.9</t>
  </si>
  <si>
    <t>Очистка кровли</t>
  </si>
  <si>
    <t>3.2.9.2</t>
  </si>
  <si>
    <t>Очистка кровли от снега, сбивание сосулек (при толщине слоя до 20 см) с парапетов</t>
  </si>
  <si>
    <t>100 кв.м. кровли</t>
  </si>
  <si>
    <t>Плановый ремонт подъездов</t>
  </si>
  <si>
    <t>Ремонт подъездов</t>
  </si>
  <si>
    <t>м2</t>
  </si>
  <si>
    <t>ИТОГО:</t>
  </si>
  <si>
    <t>Техническое обслуживание и ремонт внутридомовых систем электроснабжения и электрооборудования</t>
  </si>
  <si>
    <t>1.1.7</t>
  </si>
  <si>
    <t>Восстановление (ремонт)  освещения и  вентиляции  подвала</t>
  </si>
  <si>
    <t>1.1.7.1</t>
  </si>
  <si>
    <t>Замена неисправных участков электрической сети (скрытая проводка) при числе и сечении жил в проводе  2x1,5 и 2x2,5 кв.м.</t>
  </si>
  <si>
    <t>100 пог.м</t>
  </si>
  <si>
    <t>1.1.7.5</t>
  </si>
  <si>
    <t>Замена патронов</t>
  </si>
  <si>
    <t>1.1.7.6</t>
  </si>
  <si>
    <t>Замена неисправных участков электрической сети (скрытая проводка) при числе и сечении жил в проводе  3х2,5 кв.м</t>
  </si>
  <si>
    <t>100 пог. м</t>
  </si>
  <si>
    <t>2.5</t>
  </si>
  <si>
    <t>Внутридомовое электро-, радио- и телеоборудование</t>
  </si>
  <si>
    <t>2.5.1</t>
  </si>
  <si>
    <t>Ремонт,  замена  шкафов  вводных и  вводно-распределительных устройств</t>
  </si>
  <si>
    <t>2.5.1.1</t>
  </si>
  <si>
    <t>Замена пакетных переключателей вводно-распределительных устройств и шкафов</t>
  </si>
  <si>
    <t>1 переключатель</t>
  </si>
  <si>
    <t>2.5.1.2</t>
  </si>
  <si>
    <t>Замена автоматического выключателя</t>
  </si>
  <si>
    <t>1 автоматический выключатель</t>
  </si>
  <si>
    <t>2.5.1.5</t>
  </si>
  <si>
    <t>Замена рубильника</t>
  </si>
  <si>
    <t>1 рубильник</t>
  </si>
  <si>
    <t>2.5.1.7</t>
  </si>
  <si>
    <t>Ремонт блока управления освещением</t>
  </si>
  <si>
    <t>1 блок</t>
  </si>
  <si>
    <t>2.5.1.11</t>
  </si>
  <si>
    <t>Замена шкафов и ВРУ</t>
  </si>
  <si>
    <t>1 шкаф</t>
  </si>
  <si>
    <t>2.5.2</t>
  </si>
  <si>
    <t>Ремонт,  замена  аппаратуры  защиты,  контроля и   управления  общего  пользования</t>
  </si>
  <si>
    <t>2.5.2.5</t>
  </si>
  <si>
    <t>Замена автомата</t>
  </si>
  <si>
    <t>1 автомат</t>
  </si>
  <si>
    <t>2.5.5</t>
  </si>
  <si>
    <t>Ремонт, замена этажных  щитков и  шкафов</t>
  </si>
  <si>
    <t>2.5.5.2</t>
  </si>
  <si>
    <t>Ремонт щитков</t>
  </si>
  <si>
    <t>1 щит</t>
  </si>
  <si>
    <t>2.5.6</t>
  </si>
  <si>
    <t>Ремонт,  замена  приборов  учета и регулирования общего   пользования</t>
  </si>
  <si>
    <t>2.5.6.7</t>
  </si>
  <si>
    <t>Замена трехфазного счетчика (прибора учета) электрической энергии, включенного через измерительные трансформаторы тока</t>
  </si>
  <si>
    <t>1 счетчик</t>
  </si>
  <si>
    <t>2.5.6.9</t>
  </si>
  <si>
    <t>Обслуживание трехфазных счетчиков электроэнергии</t>
  </si>
  <si>
    <t>100 счетчиков</t>
  </si>
  <si>
    <t>2.5.7</t>
  </si>
  <si>
    <t>Ремонт,  замена  осветительных установок  помещений   общего  пользования</t>
  </si>
  <si>
    <t>2.5.7.1</t>
  </si>
  <si>
    <t>Замена выключателя</t>
  </si>
  <si>
    <t>1 выключатель</t>
  </si>
  <si>
    <t>2.5.7.2</t>
  </si>
  <si>
    <t>Замена светильника с лампами накаливания или энергосберегающими лампами</t>
  </si>
  <si>
    <t>1 светильник</t>
  </si>
  <si>
    <t>2.5.7.4</t>
  </si>
  <si>
    <t>Ремонт светильника с лампами накаливания или энергосберегающими лампами</t>
  </si>
  <si>
    <t>2.5.7.6</t>
  </si>
  <si>
    <t>Замена лампы накаливания на энергосберегательную</t>
  </si>
  <si>
    <t>1 лампа</t>
  </si>
  <si>
    <t>2.5.7.9</t>
  </si>
  <si>
    <t>Замена светильника на светодиодный светильник</t>
  </si>
  <si>
    <t>2.5.9</t>
  </si>
  <si>
    <t>Ремонт штепсельных розеток и выключателей</t>
  </si>
  <si>
    <t>100 розеток (выключателей)</t>
  </si>
  <si>
    <t>2.5.10</t>
  </si>
  <si>
    <t>Смена розеток</t>
  </si>
  <si>
    <t>2.6.13</t>
  </si>
  <si>
    <t>Проведение технических осмотров и устранение незначительных неисправностей в   электротехнических устройствах</t>
  </si>
  <si>
    <t>2.6.13.1</t>
  </si>
  <si>
    <t>Осмотр  электросети, арматуры, электрооборудования на лестничных клетках</t>
  </si>
  <si>
    <t>100 лестничных площадок</t>
  </si>
  <si>
    <t>2.6.13.3</t>
  </si>
  <si>
    <t>Проверка изоляции электропроводки и ее укрепление</t>
  </si>
  <si>
    <t>2.6.13.4</t>
  </si>
  <si>
    <t>Проверка заземления оболочки электрокабеля</t>
  </si>
  <si>
    <t>2.6.13.5</t>
  </si>
  <si>
    <t>Замеры сопротивления изоляции проводов</t>
  </si>
  <si>
    <t xml:space="preserve">измерение 1         </t>
  </si>
  <si>
    <t>Техническое обслуживание внутридомовых систем водоснабжения и канализации</t>
  </si>
  <si>
    <t>2.2</t>
  </si>
  <si>
    <t>Системы холодного и горячего водоснабжения</t>
  </si>
  <si>
    <t>2.2.1</t>
  </si>
  <si>
    <t>Ремонт,  замена  внутридомовых сетей водоснабжения</t>
  </si>
  <si>
    <t>2.2.1.2</t>
  </si>
  <si>
    <t>Смена отдельных участков трубопроводов  водоснабжения из стальных водогазопроводных оцинкованных труб при соединении труб  на сварке</t>
  </si>
  <si>
    <t>2.2.1.2.1</t>
  </si>
  <si>
    <t>Смена отдельных участков трубопроводов водоснабжения из стальных водогазопроводных оцинкованных труб диаметром 40 мм</t>
  </si>
  <si>
    <t>100 м трубопроводов</t>
  </si>
  <si>
    <t>2.2.1.2.2</t>
  </si>
  <si>
    <t>Смена отдельных участков трубопроводов  водоснабжения из стальных водогазопроводных оцинкованных труб диаметром 50 мм</t>
  </si>
  <si>
    <t>2.2.1.2.3</t>
  </si>
  <si>
    <t>Смена отдельных участков трубопроводов  водоснабжения из стальных водогазопроводных оцинкованных труб диаметром 65 мм</t>
  </si>
  <si>
    <t>2.2.1.2.4</t>
  </si>
  <si>
    <t>Смена отдельных участков трубопроводов  водоснабжения из стальных водогазопроводных оцинкованных труб диаметром 80 мм</t>
  </si>
  <si>
    <t>2.2.1.2.5</t>
  </si>
  <si>
    <t>Смена отдельных участков трубопроводов  водоснабжения из стальных водогазопроводных оцинкованных труб диаметром 100 мм</t>
  </si>
  <si>
    <t>2.2.1.6</t>
  </si>
  <si>
    <t>Временная заделка свищей и трещин на внутренних трубопроводах и стояках</t>
  </si>
  <si>
    <t>2.2.1.6.1</t>
  </si>
  <si>
    <t>Временная заделка свищей и трещин на внутренних трубопроводах и стояках при диаметре трубопровода до 50 мм</t>
  </si>
  <si>
    <t>2.2.1.6.2</t>
  </si>
  <si>
    <t>Временная заделка свищей и трещин на внутренних трубопроводах и стояках при диаметре трубопровода до 75 мм</t>
  </si>
  <si>
    <t>2.2.1.6.3</t>
  </si>
  <si>
    <t>Временная заделка свищей и трещин на внутренних трубопроводах и стояках при диаметре трубопровода до 100 мм</t>
  </si>
  <si>
    <t>2.2.1.7</t>
  </si>
  <si>
    <t>Смена сгонов у трубопроводов</t>
  </si>
  <si>
    <t>2.2.1.7.1</t>
  </si>
  <si>
    <t>Смена сгонов у трубопроводов диаметром до 20 мм</t>
  </si>
  <si>
    <t>100 сгонов</t>
  </si>
  <si>
    <t>2.2.1.7.2</t>
  </si>
  <si>
    <t>Смена сгонов у трубопроводов диаметром до 32 мм</t>
  </si>
  <si>
    <t>2.2.1.7.3</t>
  </si>
  <si>
    <t>Смена сгонов у трубопроводов диаметром до 50 мм</t>
  </si>
  <si>
    <t>2.2.1.8</t>
  </si>
  <si>
    <t>Уплотнение сгонов</t>
  </si>
  <si>
    <t>2.2.1.8.1</t>
  </si>
  <si>
    <t>Уплотнение сгонов с применением льняной пряди или асбестового шнура (без разборки сгонов) диаметром до 20 мм</t>
  </si>
  <si>
    <t>1 сгон</t>
  </si>
  <si>
    <t>2.2.1.8.2</t>
  </si>
  <si>
    <t>Уплотнение сгонов с применением льняной пряди или асбестового шнура (без разборки сгонов) диаметром до 32 мм</t>
  </si>
  <si>
    <t>2.2.1.8.4</t>
  </si>
  <si>
    <t>Уплотнение сгонов с применением ленты ФУМ (без разборки сгонов) диаметром до 50 мм</t>
  </si>
  <si>
    <t>2.2.1.9</t>
  </si>
  <si>
    <t>Прокладка трубопроводов водоснабжения из напорных полиэтиленовых труб низкого давления среднего типа</t>
  </si>
  <si>
    <t>2.2.1.9.4</t>
  </si>
  <si>
    <t>Прокладка трубопроводов водоснабжения из напорных полиэтиленовых труб низкого давления среднего типа наружным диаметром 40 мм</t>
  </si>
  <si>
    <t>100 м трубопровода</t>
  </si>
  <si>
    <t>2.2.1.9.5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</si>
  <si>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</si>
  <si>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2.2.1.9.6</t>
  </si>
  <si>
    <t>Прокладка трубопроводов водоснабжения из напорных полиэтиленовых труб низкого давления среднего типа наружным диаметром 63 мм</t>
  </si>
  <si>
    <t>2.2.1.9.7</t>
  </si>
  <si>
    <t>Прокладка трубопроводов водоснабжения из напорных полиэтиленовых труб низкого давления среднего типа наружным диаметром 75 мм</t>
  </si>
  <si>
    <t>2.2.1.9.8</t>
  </si>
  <si>
    <t>Прокладка трубопроводов водоснабжения из напорных полиэтиленовых труб низкого давления среднего типа наружным диаметром 90 мм</t>
  </si>
  <si>
    <t>2.2.1.9.9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</si>
  <si>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</si>
  <si>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2.2.2</t>
  </si>
  <si>
    <t>Ремонт, замена, проверка приборов учета воды</t>
  </si>
  <si>
    <t>2.2.2.1</t>
  </si>
  <si>
    <t>Ремонт приборов учета воды</t>
  </si>
  <si>
    <t>2.2.2.1.9</t>
  </si>
  <si>
    <t>Обслуживание преобразователя расхода от 50 до  100 мм</t>
  </si>
  <si>
    <t>1 преобразователь расхода</t>
  </si>
  <si>
    <t>2.2.2.2</t>
  </si>
  <si>
    <t>Замена прибора учета воды</t>
  </si>
  <si>
    <t>2.2.2.2.1</t>
  </si>
  <si>
    <t>Замена прибора учета воды с фильтром</t>
  </si>
  <si>
    <t>Счетчик воды</t>
  </si>
  <si>
    <t>2.2.2.2.2</t>
  </si>
  <si>
    <t>Замена прибора учета воды без фильтра</t>
  </si>
  <si>
    <t>2.2.3</t>
  </si>
  <si>
    <t>Ремонт  бойлеров,  котлов  подготовки  горячей воды</t>
  </si>
  <si>
    <t>2.2.3.1</t>
  </si>
  <si>
    <t>Проверка и ремонт  водяных теплообменников и водонагревателей</t>
  </si>
  <si>
    <t>2.2.3.1.3</t>
  </si>
  <si>
    <t>Теплообменник (водонагреватель)  поверхностью нагрева  до 25 кв.м</t>
  </si>
  <si>
    <t>1  теплообменник (бойлер)</t>
  </si>
  <si>
    <t>2.2.3.2</t>
  </si>
  <si>
    <t>Специальные работы и изготовление деталей</t>
  </si>
  <si>
    <t>2.2.3.2.2</t>
  </si>
  <si>
    <t>Очистка труб от накипи с двух сторон или райберовка отверстий трубной доски</t>
  </si>
  <si>
    <t>труба (отверстие)</t>
  </si>
  <si>
    <t>2.2.3.4</t>
  </si>
  <si>
    <t>Снятие и установка корпуса теплообменника</t>
  </si>
  <si>
    <t>корпус</t>
  </si>
  <si>
    <t>2.2.3.6</t>
  </si>
  <si>
    <t>Замена дефектных трубок пучка</t>
  </si>
  <si>
    <t>2.2.3.6.2</t>
  </si>
  <si>
    <t>Замена дефектных трубок пучка теплообменника с поверхностью нагрева до 75 кв.м</t>
  </si>
  <si>
    <t>1 трубка</t>
  </si>
  <si>
    <t>2.2.3.8</t>
  </si>
  <si>
    <t>Гидравлическое испытание теплообменника</t>
  </si>
  <si>
    <t>2.2.3.8.2</t>
  </si>
  <si>
    <t>Гидравлическое испытание теплообменника (водонагревателя)  поверхностью нагрева  до 75 кв.м</t>
  </si>
  <si>
    <t>1 теплообменник (бойлер)</t>
  </si>
  <si>
    <t>2.2.3.9</t>
  </si>
  <si>
    <t>Замена трубчатого или змеевикового  теплообменного аппарата</t>
  </si>
  <si>
    <t>2.2.3.9.1</t>
  </si>
  <si>
    <t>Замена трубчатого или змеевикового  теплообменного аппарата при весе пучка до 100 кг</t>
  </si>
  <si>
    <t>2.2.4</t>
  </si>
  <si>
    <t>Теплоизоляция сетей  горячего  водоснабжения</t>
  </si>
  <si>
    <t>100 м2 утепленного участка</t>
  </si>
  <si>
    <t>2.2.5</t>
  </si>
  <si>
    <t>Окраска  сетей и  устройств  горячего  водоснабжения</t>
  </si>
  <si>
    <t>2.2.5.1</t>
  </si>
  <si>
    <t>Окраска масляными составами ранее окрашенных поверхностей стальных труб</t>
  </si>
  <si>
    <t>2.2.5.1.2</t>
  </si>
  <si>
    <t>Окраска масляными составами ранее окрашенных поверхностей  стальных труб горячего водоснабжения за 2 раза</t>
  </si>
  <si>
    <t>2.2.6</t>
  </si>
  <si>
    <t>Ремонт оборудования, приборов и арматуры водопроводной сети общего пользования</t>
  </si>
  <si>
    <t>2.2.6.1</t>
  </si>
  <si>
    <t>Смена вентилей и клапанов обратных муфтовых диаметром до 20 мм</t>
  </si>
  <si>
    <t>2.2.6.2</t>
  </si>
  <si>
    <t>Смена вентилей и клапанов обратных муфтовых диаметром до 32  мм</t>
  </si>
  <si>
    <t>2.2.6.3</t>
  </si>
  <si>
    <t>Смена вентилей и клапанов обратных муфтовых диаметром до 50  мм</t>
  </si>
  <si>
    <t>2.2.6.4</t>
  </si>
  <si>
    <t>Смена задвижек диаметром до 50 мм</t>
  </si>
  <si>
    <t>2.2.6.5</t>
  </si>
  <si>
    <t>Смена задвижек диаметром до 100 мм</t>
  </si>
  <si>
    <t>2.3</t>
  </si>
  <si>
    <t>Система водоотведения</t>
  </si>
  <si>
    <t>2.3.1</t>
  </si>
  <si>
    <t>Смена отдельных участков трубопроводов канализации из полиэтиленовых труб высокой плотности</t>
  </si>
  <si>
    <t>2.3.1.1</t>
  </si>
  <si>
    <t>Смена горизонтальных участков трубопроводов канализации из полиэтиленовых труб высокой плотности диаметром 50 мм</t>
  </si>
  <si>
    <t>2.3.1.2</t>
  </si>
  <si>
    <t>Смена горизонтальных участков трубопроводов канализации из полиэтиленовых труб высокой плотности диаметром 100 мм</t>
  </si>
  <si>
    <t>2.3.1.3</t>
  </si>
  <si>
    <t>Смена вертикальных участков трубопроводов канализации из полиэтиленовых труб высокой плотности диаметром 50 мм</t>
  </si>
  <si>
    <t>2.3.1.4</t>
  </si>
  <si>
    <t>Смена вертикальных участков трубопроводов канализации из полиэтиленовых труб высокой плотности диаметром 100 мм</t>
  </si>
  <si>
    <t>2.3.2</t>
  </si>
  <si>
    <t>Смена отдельных участков внутренних чугунных канализационных труб и выпусков</t>
  </si>
  <si>
    <t>2.3.2.1</t>
  </si>
  <si>
    <t>Смена отдельных участков  чугунных труб и внутренних чугунных канализационных выпусков при диаметре канализационного выпуска 50 мм</t>
  </si>
  <si>
    <t>2.3.2.2</t>
  </si>
  <si>
    <t>Смена отдельных участков чугунных труб и  внутренних чугунных канализационных выпусков при диаметре канализационного выпуска 100 мм</t>
  </si>
  <si>
    <t>2.3.3</t>
  </si>
  <si>
    <t>Подчеканка раструбов канализационных труб</t>
  </si>
  <si>
    <t>2.3.3.3</t>
  </si>
  <si>
    <t>Подчеканка раструбов чугунных канализационных труб</t>
  </si>
  <si>
    <t>2.3.3.3.1</t>
  </si>
  <si>
    <t>Подчеканка раструбов чугунных  канализационных труб диаметром до 50 мм</t>
  </si>
  <si>
    <t>100  раструбов</t>
  </si>
  <si>
    <t>2.3.4</t>
  </si>
  <si>
    <t>Устранение засоров внутренних канализационных трубопроводов</t>
  </si>
  <si>
    <t>100 м трубы</t>
  </si>
  <si>
    <t>2.3.5</t>
  </si>
  <si>
    <t>Заделка стыков соединений стояков внутренних водостоков</t>
  </si>
  <si>
    <t>100 соединений</t>
  </si>
  <si>
    <t>2.3.7</t>
  </si>
  <si>
    <t>Набивка сальников компенсационных патрубков на стояках внутренних водостоков</t>
  </si>
  <si>
    <t>100 патрубков</t>
  </si>
  <si>
    <t>2.3.8</t>
  </si>
  <si>
    <t>Очистка стальной щеткой старых чугунных труб и фасонных частей от нароста и грязи</t>
  </si>
  <si>
    <t>2.3.8.1</t>
  </si>
  <si>
    <t>Очистка стальной щеткой старых чугунных труб и фасонных частей от нароста и грязи при диаметре трубопровода до 50 мм</t>
  </si>
  <si>
    <t>1 м трубопровода</t>
  </si>
  <si>
    <t>2.3.8.3</t>
  </si>
  <si>
    <t>Очистка стальной щеткой старых чугунных труб и фасонных частей от нароста и грязи при диаметре трубопровода до 100 мм</t>
  </si>
  <si>
    <t>2.3.9</t>
  </si>
  <si>
    <t>Окраска масляными составами ранее окрашенных поверхностей стальных и чугунных труб</t>
  </si>
  <si>
    <t>2.3.9.2</t>
  </si>
  <si>
    <t>Окраска масляными составами ранее окрашенных поверхностей  чугунных труб за 2 раза</t>
  </si>
  <si>
    <t>2.3.11</t>
  </si>
  <si>
    <t>Разборка трубопроводов из чугунных канализационных труб</t>
  </si>
  <si>
    <t>2.3.11.1</t>
  </si>
  <si>
    <t>Разборка трубопроводов из чугунных канализационных труб диаметром 50 мм</t>
  </si>
  <si>
    <t>100 м трубопровода с фасонными частями</t>
  </si>
  <si>
    <t>2.3.11.2</t>
  </si>
  <si>
    <t>Разборка трубопроводов из чугунных канализационных труб диаметром 100 мм</t>
  </si>
  <si>
    <t>2.6.11</t>
  </si>
  <si>
    <t>Проведение технических осмотров и устранение незначительных неисправностей в  системах водоснабжения и  водоотведения</t>
  </si>
  <si>
    <t>2.6.11.1</t>
  </si>
  <si>
    <t>Осмотр водопровода, канализации и горячего водоснабжения</t>
  </si>
  <si>
    <t>100 квартир</t>
  </si>
  <si>
    <t>2.6.11.2</t>
  </si>
  <si>
    <t>Промывка участка водопровода</t>
  </si>
  <si>
    <t>100 куб.м. здания</t>
  </si>
  <si>
    <t>2.6.11.3</t>
  </si>
  <si>
    <t>Прочистка канализационного лежака</t>
  </si>
  <si>
    <t>100 м канализационного лежака</t>
  </si>
  <si>
    <t>2.6.11.4</t>
  </si>
  <si>
    <t>Проверка исправности  канализационных  вытяжек</t>
  </si>
  <si>
    <t>2.6.15</t>
  </si>
  <si>
    <t>Проверка и ремонт коллективных приборов  учета</t>
  </si>
  <si>
    <t>2.6.15.1</t>
  </si>
  <si>
    <t>Проверка и обслуживание приборов учета воды диаметром 25-40 мм</t>
  </si>
  <si>
    <t>2.6.15.1.1</t>
  </si>
  <si>
    <t>Визуальный осмотр узла учета и проверка наличия и нарушения пломб (прибор учета воды диаметром 25-40 мм)</t>
  </si>
  <si>
    <t>1 прибор учета</t>
  </si>
  <si>
    <t>2.6.15.1.2</t>
  </si>
  <si>
    <t>Снятие и запись показаний с вычислителя в журнал (прибор учета воды диаметром 25-40 мм)</t>
  </si>
  <si>
    <t>2.6.15.1.3</t>
  </si>
  <si>
    <t>Составление акта (при нарушении правил эксплуатации прибора учета воды диаметром 25-40 мм) с представителями абонента и поставщиком</t>
  </si>
  <si>
    <t>2.6.15.1.4</t>
  </si>
  <si>
    <t>Проверка работоспособности запорной арматуры и очистка фильтров (приборов учета воды диаметром 25-40 мм)</t>
  </si>
  <si>
    <t>1 фильтр</t>
  </si>
  <si>
    <t>2.6.15.1.5</t>
  </si>
  <si>
    <t>Установка фильтра для очистки воды (приборов учета воды диаметром 25-40 мм)</t>
  </si>
  <si>
    <t>2.6.15.1.6</t>
  </si>
  <si>
    <t>Запуск воды с общего вентиля к счетчику (приборов учета воды диаметром 25-40 мм)</t>
  </si>
  <si>
    <t>2.6.15.1.7</t>
  </si>
  <si>
    <t>При отказе или неисправной работе прибора учета воды диаметром 25-40 мм - поиск неисправностей</t>
  </si>
  <si>
    <t>2.6.15.1.8</t>
  </si>
  <si>
    <t>Проверка работоспособности водозапорной арматуры приборов учета воды диаметром 25-40 мм</t>
  </si>
  <si>
    <t>2.6.15.2</t>
  </si>
  <si>
    <t>Проверка и обслуживание коллективных приборов учета воды диаметром 50-250 мм</t>
  </si>
  <si>
    <t>2.6.15.2.1</t>
  </si>
  <si>
    <t>Визуальный осмотр прибора учета воды диаметром 50-250 мм и проверка наличия и нарушения пломб</t>
  </si>
  <si>
    <t>2.6.15.2.2</t>
  </si>
  <si>
    <t>Снятие и запись показаний с вычислителя в журнал (приборов учета воды диаметром 50-250 мм)</t>
  </si>
  <si>
    <t>2.6.15.2.3</t>
  </si>
  <si>
    <t>Составление акта (при нарушении правил эксплуатации прибора учета воды диаметром 50-250 мм)</t>
  </si>
  <si>
    <t>2.6.15.2.4</t>
  </si>
  <si>
    <t>Проверка работоспособности запорной арматуры и очистка фильтров приборов учета воды диаметром 50-250 мм</t>
  </si>
  <si>
    <t>2.6.15.2.5</t>
  </si>
  <si>
    <t>Установка фильтра для очистки воды (приборов учета воды диаметром 50-250 мм)</t>
  </si>
  <si>
    <t>2.6.15.2.6</t>
  </si>
  <si>
    <t>Запуск воды с общего вентиля к счетчику (прибор учета воды диаметром 50-250 мм)</t>
  </si>
  <si>
    <t>2.6.15.2.7</t>
  </si>
  <si>
    <t>При отказе или неисправной работе прибора учета воды диаметром 50-250 мм - поиск неисправностей</t>
  </si>
  <si>
    <t>2.6.15.2.8</t>
  </si>
  <si>
    <t>Проверка работоспособности водозапорной арматуры приборов учета воды диаметром 50-250 мм</t>
  </si>
  <si>
    <t>2.7</t>
  </si>
  <si>
    <t>Устранение аварии и выполнение заявок населения</t>
  </si>
  <si>
    <t>2.7.2</t>
  </si>
  <si>
    <t>Устранение аварии на внутридомовых инженерных сетях и выполнение заявок населения (в домах, не оборудованных газовыми плитами)</t>
  </si>
  <si>
    <t>2.7.2.3</t>
  </si>
  <si>
    <t>Устранение аварии на внутридомовых инженерных сетях при сроке эксплуатации многоквартирного дома от 31 до 50 лет</t>
  </si>
  <si>
    <t>1000 м2  общей площади жилых помещений, не оборудованных газовыми плитами (в год для одной смены)</t>
  </si>
  <si>
    <t>Техническое обслуживание и ремонт внутридомовых систем центрального отопления</t>
  </si>
  <si>
    <t>2.1</t>
  </si>
  <si>
    <t>Система теплоснабжения</t>
  </si>
  <si>
    <t>2.1.2</t>
  </si>
  <si>
    <t>Ремонт,  модернизация внутридомовых отопительных сетей</t>
  </si>
  <si>
    <t>2.1.2.2</t>
  </si>
  <si>
    <t>Смена отдельных участков трубопроводов из стальных электросварных труб</t>
  </si>
  <si>
    <t>2.1.2.2.1</t>
  </si>
  <si>
    <t>Смена отдельных участков трубопроводов из стальных электросварных труб  диаметром 40 мм</t>
  </si>
  <si>
    <t>2.1.2.2.2</t>
  </si>
  <si>
    <t>Смена отдельных участков трубопроводов из стальных электросварных труб   диаметром 50 мм</t>
  </si>
  <si>
    <t>2.1.2.2.3</t>
  </si>
  <si>
    <t>Смена отдельных участков трубопроводов из стальных электросварных труб   диаметром 65 мм</t>
  </si>
  <si>
    <t>2.1.2.2.4</t>
  </si>
  <si>
    <t>Смена отдельных участков трубопроводов из стальных электросварных труб   диаметром  80 мм</t>
  </si>
  <si>
    <t>2.1.2.2.5</t>
  </si>
  <si>
    <t>Смена отдельных участков трубопроводов из стальных электросварных труб диаметром 100 мм</t>
  </si>
  <si>
    <t>2.1.2.3</t>
  </si>
  <si>
    <t xml:space="preserve">Модернизация внутридомовых тепловых сетей путем замены на трубопроводы из многослойных металл-полимерных труб при стояковой системе отопления </t>
  </si>
  <si>
    <t>2.1.2.3.1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</si>
  <si>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20 мм</t>
  </si>
  <si>
    <t>пог.м.</t>
  </si>
  <si>
    <t>2.1.2.3.2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</si>
  <si>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25 мм</t>
  </si>
  <si>
    <t>2.1.2.3.3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</si>
  <si>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32 мм</t>
  </si>
  <si>
    <t>2.1.3</t>
  </si>
  <si>
    <t>Ремонт,  промывка  отопительных  элементов</t>
  </si>
  <si>
    <t>2.1.3.1</t>
  </si>
  <si>
    <t>Смена радиаторных блоков</t>
  </si>
  <si>
    <t>2.1.3.1.2</t>
  </si>
  <si>
    <t>Смена радиаторных блоков, вес радиаторного блока до 80 кг</t>
  </si>
  <si>
    <t>100 радиаторных блоков</t>
  </si>
  <si>
    <t>2.1.3.2</t>
  </si>
  <si>
    <t>Переборка секций радиаторного блока из чугуна</t>
  </si>
  <si>
    <t>100 секций</t>
  </si>
  <si>
    <t>2.1.3.3</t>
  </si>
  <si>
    <t>Переборка секций радиаторного блока из алюминия</t>
  </si>
  <si>
    <t>2.1.3.4</t>
  </si>
  <si>
    <t>Добавление секций к радиаторному блоку</t>
  </si>
  <si>
    <t>2.1.3.4.1</t>
  </si>
  <si>
    <t>Добавление секций к алюминиевому радиаторному блоку</t>
  </si>
  <si>
    <t>2.1.3.4.2</t>
  </si>
  <si>
    <t>Добавление секций к чугунному радиаторному блоку</t>
  </si>
  <si>
    <t>2.1.3.5</t>
  </si>
  <si>
    <t>Прочистка и промывка отопительных приборов</t>
  </si>
  <si>
    <t>2.1.3.5.1</t>
  </si>
  <si>
    <t>Прочистка и промывка отопительных приборов радиаторов весом до 80 кг внутри здания</t>
  </si>
  <si>
    <t>100 приборов</t>
  </si>
  <si>
    <t>2.1.3.5.2</t>
  </si>
  <si>
    <t>Прочистка и промывка отопительных приборов радиаторов весом до 160 кг внутри здания</t>
  </si>
  <si>
    <t>2.1.5</t>
  </si>
  <si>
    <t>Восстановление теплоизоляции  систем  теплоснабжения</t>
  </si>
  <si>
    <t>2.1.5.3</t>
  </si>
  <si>
    <t>Восстановление разрушенной тепловой изоляции</t>
  </si>
  <si>
    <t>2.1.5.3.3</t>
  </si>
  <si>
    <t>Восстановление разрушенной тепловой изоляции минераловатными матами</t>
  </si>
  <si>
    <t>100 м2 восстановленного участка</t>
  </si>
  <si>
    <t>2.1.6</t>
  </si>
  <si>
    <t>Ремонт или  замена  неисправных  приборов  учета и  регулирования</t>
  </si>
  <si>
    <t>2.1.6.2</t>
  </si>
  <si>
    <t>Замена прибора учета</t>
  </si>
  <si>
    <t>прибор</t>
  </si>
  <si>
    <t>2.1.7</t>
  </si>
  <si>
    <t>Ремонт  элеваторного  узла</t>
  </si>
  <si>
    <t>2.1.7.1</t>
  </si>
  <si>
    <t>Ремонт элеваторного узла с выходным проходом 50 мм</t>
  </si>
  <si>
    <t>1 узел</t>
  </si>
  <si>
    <t>2.1.7.2</t>
  </si>
  <si>
    <t>Ремонт элеваторного узла с выходным проходом 80 мм</t>
  </si>
  <si>
    <t>узел</t>
  </si>
  <si>
    <t>2.1.8</t>
  </si>
  <si>
    <t>Ремонт  насосов,  магистральной запорной арматуры,  автоматических устройств</t>
  </si>
  <si>
    <t>2.1.8.1</t>
  </si>
  <si>
    <t>Ремонт центробежных насосов</t>
  </si>
  <si>
    <t>насос</t>
  </si>
  <si>
    <t>2.1.8.4</t>
  </si>
  <si>
    <t>Смена параллельной задвижки</t>
  </si>
  <si>
    <t>2.1.8.4.1</t>
  </si>
  <si>
    <t>Смена параллельной задвижки,  диаметром до 100 мм</t>
  </si>
  <si>
    <t>2.1.8.4.2</t>
  </si>
  <si>
    <t>Смена параллельной задвижки,  диаметром до 150 мм</t>
  </si>
  <si>
    <t>2.1.8.4.3</t>
  </si>
  <si>
    <t>Смена параллельной задвижки,  диаметром до 200 мм</t>
  </si>
  <si>
    <t>2.1.8.5</t>
  </si>
  <si>
    <t>Снятие, прочистка и установка параллельной задвижки</t>
  </si>
  <si>
    <t>2.1.8.5.1</t>
  </si>
  <si>
    <t>Снятие, прочистка и установка параллельной задвижки диаметром  100 мм</t>
  </si>
  <si>
    <t>2.1.8.5.2</t>
  </si>
  <si>
    <t>Снятие, прочистка и установка параллельной задвижки диаметром  150 мм</t>
  </si>
  <si>
    <t>2.1.8.5.3</t>
  </si>
  <si>
    <t>Снятие, прочистка и установка параллельной задвижки диаметром  200 мм</t>
  </si>
  <si>
    <t>2.1.8.6</t>
  </si>
  <si>
    <t>Смена кранов двойной регулировки</t>
  </si>
  <si>
    <t>2.1.8.6.3</t>
  </si>
  <si>
    <t>Смена кранов двойной регулировки диаметром прохода 32 мм</t>
  </si>
  <si>
    <t>100 кранов</t>
  </si>
  <si>
    <t>2.1.8.7</t>
  </si>
  <si>
    <t>Смена пробковых кранов</t>
  </si>
  <si>
    <t>2.1.8.7.3</t>
  </si>
  <si>
    <t>Смена пробковых кранов диаметром свыше 26-50 мм</t>
  </si>
  <si>
    <t>2.1.8.8</t>
  </si>
  <si>
    <t>Смена вентиля</t>
  </si>
  <si>
    <t>2.1.8.8.3</t>
  </si>
  <si>
    <t>Смена вентиля диаметром свыше 26 до 50  мм</t>
  </si>
  <si>
    <t>100 вентилей</t>
  </si>
  <si>
    <t>2.1.9</t>
  </si>
  <si>
    <t>Модернизация системы отопления и горячего водоснабжения</t>
  </si>
  <si>
    <t>2.1.9.3</t>
  </si>
  <si>
    <t>Установка термостатических вентилей на радиаторах</t>
  </si>
  <si>
    <t>2.1.9.3.1</t>
  </si>
  <si>
    <t>Установка термостатических вентилей на радиаторах, диаметром 10-15 мм</t>
  </si>
  <si>
    <t>1 прибор</t>
  </si>
  <si>
    <t>2.1.9.3.2</t>
  </si>
  <si>
    <t>Установка термостатических вентилей на радиаторах, диаметром 20 мм</t>
  </si>
  <si>
    <t>2.1.9.4</t>
  </si>
  <si>
    <t>Установка запорных вентилей на радиаторах</t>
  </si>
  <si>
    <t>2.1.9.4.1</t>
  </si>
  <si>
    <t>Установка запорных вентилей на радиаторах, диаметром 10-15 мм</t>
  </si>
  <si>
    <t>2.1.9.4.2</t>
  </si>
  <si>
    <t>Установка запорных вентилей на радиаторах, диаметром 20 мм</t>
  </si>
  <si>
    <t>2.1.10</t>
  </si>
  <si>
    <t>Обслуживание систем диспетчеризации и автоматизированной системы коммерческого учета энергии (АСКУЭ) без учета обслуживания серверов</t>
  </si>
  <si>
    <t>1 АРМ</t>
  </si>
  <si>
    <t>2.6.14</t>
  </si>
  <si>
    <t>Проведение технических осмотров и устранение незначительных неисправностей в  системе   теплоснабжения</t>
  </si>
  <si>
    <t>2.6.14.1</t>
  </si>
  <si>
    <t>Осмотр системы центрального отопления</t>
  </si>
  <si>
    <t>2.6.14.1.2</t>
  </si>
  <si>
    <t>Осмотр устройства системы центрального отопления в чердачных и подвальных помещениях</t>
  </si>
  <si>
    <t>1000 м2 осматриваемых помещений</t>
  </si>
  <si>
    <t>2.6.14.3</t>
  </si>
  <si>
    <t>Гидравлическое испытание трубопроводов систем центрального отопления (расконсервация)</t>
  </si>
  <si>
    <t>2.6.14.3.1</t>
  </si>
  <si>
    <t>Первое рабочее испытание отдельных частей системы при диаметре трубопровода до 50 мм</t>
  </si>
  <si>
    <t>2.6.14.3.2</t>
  </si>
  <si>
    <t>Рабочая проверка системы в целом при диаметре трубопровода до 50 мм</t>
  </si>
  <si>
    <t>2.6.14.3.3</t>
  </si>
  <si>
    <t>Окончательная проверка при сдаче системы при диаметре трубопровода до 50 мм</t>
  </si>
  <si>
    <t>2.6.14.3.4</t>
  </si>
  <si>
    <t>Первое рабочее испытание отдельных частей системы при диаметре трубопровода до 100 мм</t>
  </si>
  <si>
    <t>2.6.14.3.5</t>
  </si>
  <si>
    <t>Рабочая проверка системы в целом при диаметре трубопровода до 100 мм</t>
  </si>
  <si>
    <t>2.6.14.3.6</t>
  </si>
  <si>
    <t>Окончательная проверка при сдаче системы при диаметре трубопровода до 100 мм</t>
  </si>
  <si>
    <t>2.6.14.3.10</t>
  </si>
  <si>
    <t>Проверка на прогрев отопительных приборов с регулировкой</t>
  </si>
  <si>
    <t>2.6.14.4</t>
  </si>
  <si>
    <t>Промывка трубопроводов системы центрального отопления</t>
  </si>
  <si>
    <t>2.6.14.4.1</t>
  </si>
  <si>
    <t>Промывка трубопроводов системы центрального отопления до 50 мм</t>
  </si>
  <si>
    <t>10 м трубопровода (100 м3 здания)</t>
  </si>
  <si>
    <t>2.6.14.4.2</t>
  </si>
  <si>
    <t>Промывка трубопроводов системы центрального отопления до 100 мм</t>
  </si>
  <si>
    <t>2.6.15.3</t>
  </si>
  <si>
    <t>Проверка и обслуживание коллективных узлов учета тепловой энергии диаметром 25-40 мм</t>
  </si>
  <si>
    <t>2.6.15.3.1</t>
  </si>
  <si>
    <t>Визуальный осмотр и проверка наличия и нарушения пломб (узел учета тепловой энергии диаметром 25-40 мм)</t>
  </si>
  <si>
    <t>1 узел учета</t>
  </si>
  <si>
    <t>2.6.15.3.2</t>
  </si>
  <si>
    <t>Снятие и запись показаний с вычислителя в журнал (узел учета тепловой энергии диаметром 25-40 мм)</t>
  </si>
  <si>
    <t>2.6.15.3.3</t>
  </si>
  <si>
    <t>Составление акта (при нарушении правил эксплуатации прибора) (узел учета тепловой энергии диаметром 25-40 мм)</t>
  </si>
  <si>
    <t>2.6.15.4</t>
  </si>
  <si>
    <t>Проверка и обслуживание коллективных узлов учета тепловой энергии диаметром 50-250 мм</t>
  </si>
  <si>
    <t>2.6.15.4.1</t>
  </si>
  <si>
    <t>Визуальный осмотр и проверка наличия и нарушения пломб (узел учета тепловой энергии диаметром 50-250 мм)</t>
  </si>
  <si>
    <t>2.6.15.4.2</t>
  </si>
  <si>
    <t>Снятие и запись показаний с вычислителя в журнал (узел учета тепловой энергии диаметром 50-250 мм)</t>
  </si>
  <si>
    <t>2.6.15.4.3</t>
  </si>
  <si>
    <t>Составление акта (при нарушении правил эксплуатации прибора) (узел учета тепловой энергии диаметром 50-250 мм)</t>
  </si>
  <si>
    <t>2.6.15.4.4</t>
  </si>
  <si>
    <t>Проверка работоспособности запорной арматуры и очистка фильтра (узел учета тепловой энергии диаметром 50-250 мм)</t>
  </si>
  <si>
    <t>Техническое обслуживание и ремонт внутридомовых систем газового оборудования</t>
  </si>
  <si>
    <t>2.4</t>
  </si>
  <si>
    <t>Система газоснабжения</t>
  </si>
  <si>
    <t>2.4.1</t>
  </si>
  <si>
    <t>Ремонт внутридомовых сетей  газоснабжения</t>
  </si>
  <si>
    <t>2.4.1.1</t>
  </si>
  <si>
    <t>Техническое обслуживание внутридомовых газопроводов</t>
  </si>
  <si>
    <t>2.4.1.1.2</t>
  </si>
  <si>
    <t>Техническое обслуживание внутридомовых газопроводов диаметром 25-50 мм</t>
  </si>
  <si>
    <t>100 пог. м.</t>
  </si>
  <si>
    <t>2.4.1.1.3</t>
  </si>
  <si>
    <t>Техническое обслуживание внутридомовых газопроводов диаметром 50-75 мм</t>
  </si>
  <si>
    <t>2.4.1.2</t>
  </si>
  <si>
    <t>Устранение неплотности соединений газопровода</t>
  </si>
  <si>
    <t>2.4.1.2.2</t>
  </si>
  <si>
    <t>Устранение неплотности соединений газопровода диаметром 25 мм</t>
  </si>
  <si>
    <t>1 соединение</t>
  </si>
  <si>
    <t>2.4.1.2.3</t>
  </si>
  <si>
    <t>Устранение неплотности соединений газопровода диаметром 32 мм</t>
  </si>
  <si>
    <t>2.4.1.2.4</t>
  </si>
  <si>
    <t>Устранение неплотности соединений газопровода диаметром 40 мм</t>
  </si>
  <si>
    <t>2.4.1.2.5</t>
  </si>
  <si>
    <t>Устранение неплотности соединений газопровода диаметром 50 мм</t>
  </si>
  <si>
    <t>2.4.1.3</t>
  </si>
  <si>
    <t>Замена газового крана</t>
  </si>
  <si>
    <t>2.4.1.3.2</t>
  </si>
  <si>
    <t>Замена газового крана диаметром 25 и 32 мм</t>
  </si>
  <si>
    <t>1 кран</t>
  </si>
  <si>
    <t>2.4.1.4</t>
  </si>
  <si>
    <t>Ремонт неисправного участка газопровода</t>
  </si>
  <si>
    <t>2.4.1.4.1</t>
  </si>
  <si>
    <t>Ремонт неисправного участка газопровода диаметром 15 мм</t>
  </si>
  <si>
    <t>1 участок</t>
  </si>
  <si>
    <t>2.4.1.4.2</t>
  </si>
  <si>
    <t>Ремонт неисправного участка газопровода диаметром 25 и 32 мм</t>
  </si>
  <si>
    <t>2.4.1.4.3</t>
  </si>
  <si>
    <t>Ремонт неисправного участка газопровода диаметром 40 мм</t>
  </si>
  <si>
    <t>2.4.1.4.4</t>
  </si>
  <si>
    <t>Ремонт неисправного участка газопровода диаметром 50 мм</t>
  </si>
  <si>
    <t>2.4.1.5</t>
  </si>
  <si>
    <t>Проверка работоспособности и смазка отключающих устройств</t>
  </si>
  <si>
    <t>1 устройство</t>
  </si>
  <si>
    <t>2.4.2</t>
  </si>
  <si>
    <t>Внутридомовое и (или) внутриквартирное газовое оборудование</t>
  </si>
  <si>
    <t>2.4.2.3</t>
  </si>
  <si>
    <t>Визуальная проверка (осмотр) газового оборудования</t>
  </si>
  <si>
    <t>1 оборудование</t>
  </si>
  <si>
    <t>2.4.2.4</t>
  </si>
  <si>
    <t>Проверка герметичности соединений и отключающих устройств</t>
  </si>
  <si>
    <t>2.4.2.5</t>
  </si>
  <si>
    <t>Разборка и смазка кранов</t>
  </si>
  <si>
    <t>2.4.2.8</t>
  </si>
  <si>
    <t>Инструктаж потребителей газа по безопасному использованию газа при удовлетворении коммунально-бытовых нужд</t>
  </si>
  <si>
    <t>1 квартира</t>
  </si>
  <si>
    <t>2.4.2.9</t>
  </si>
  <si>
    <t>Техническое обслуживание внутридомового газового оборудования домовладений и многоквартирных домов</t>
  </si>
  <si>
    <t>2.4.2.9.3</t>
  </si>
  <si>
    <t>Проверка герметичности внутридомового газопровода и технологических устройств на нем при количестве приборов на одном стояке 11-15 шт.</t>
  </si>
  <si>
    <t>стояк</t>
  </si>
  <si>
    <t>2.4.2.9.5</t>
  </si>
  <si>
    <t>Проверка на герметичность фланцевых, резьбовых соединений и сварных стыков на газопроводе в подъезде здания при диаметре до 32 мм</t>
  </si>
  <si>
    <t>10 шт.</t>
  </si>
  <si>
    <t>2.4.2.9.6</t>
  </si>
  <si>
    <t>Проверка на герметичность фланцевых, резьбовых соединений и сварных стыков на газопроводе в подъезде здания при диаметре 33 - 40 мм</t>
  </si>
  <si>
    <t>2.4.2.9.7</t>
  </si>
  <si>
    <t>Проверка на герметичность фланцевых, резьбовых соединений и сварных стыков на газопроводе в подъезде здания при диаметре 41 - 50 мм</t>
  </si>
  <si>
    <t>2.4.2.9.8</t>
  </si>
  <si>
    <t>Проверка герметичности фасадного газопровода</t>
  </si>
  <si>
    <t>м</t>
  </si>
  <si>
    <t>2.4.2.9.11</t>
  </si>
  <si>
    <t>Обход и осмотр трассы наружного (подземного, надземного) газопровода</t>
  </si>
  <si>
    <t>км</t>
  </si>
  <si>
    <t>2.4.2.9.15</t>
  </si>
  <si>
    <t>Техническое обслуживание внутридомового газопровода</t>
  </si>
  <si>
    <t>1 погонный метр</t>
  </si>
  <si>
    <t>Диагностирование внутридомового и внутриквартирного газового оборудования</t>
  </si>
  <si>
    <t>Техническое обслуживание и ремонт вентиляционных каналов</t>
  </si>
  <si>
    <t>2.6.5</t>
  </si>
  <si>
    <t>Утепление и прочистка дымовентиляционных каналов</t>
  </si>
  <si>
    <t>2.6.12</t>
  </si>
  <si>
    <t>Проведение технических осмотров и устранение незначительных неисправностей в  системах вентиляции</t>
  </si>
  <si>
    <t>2.6.12.1</t>
  </si>
  <si>
    <t>Проверка наличия тяги в  дымовентиляционных каналах</t>
  </si>
  <si>
    <t>2.6.12.2</t>
  </si>
  <si>
    <t>Проведение технических осмотров и устранение незначительных неисправностей в системе вентиляции</t>
  </si>
  <si>
    <t>Техническое обслуживание и ремонт дымоходов</t>
  </si>
  <si>
    <t>1.11</t>
  </si>
  <si>
    <t>Печи</t>
  </si>
  <si>
    <t>1.11.1</t>
  </si>
  <si>
    <t>Ликвидация  неравномерного нагрева  поверхностей</t>
  </si>
  <si>
    <t>1.11.1.1</t>
  </si>
  <si>
    <t>Прочистка дымохода</t>
  </si>
  <si>
    <t>1.11.1.1.1</t>
  </si>
  <si>
    <t>Прочистка дымохода из кирпича горизонтального</t>
  </si>
  <si>
    <t>1.11.4</t>
  </si>
  <si>
    <t>Перекладка  печей</t>
  </si>
  <si>
    <t>1.11.4.1</t>
  </si>
  <si>
    <t>Перекладка дымовых труб</t>
  </si>
  <si>
    <t>1.11.4.1.3</t>
  </si>
  <si>
    <t>Перекладка дымовых труб под крышей с добавлением нового кирпича до 50 % в один канал</t>
  </si>
  <si>
    <t xml:space="preserve">100 м трубы </t>
  </si>
  <si>
    <t>Техническое обслуживание и ремонт систем коллективного приема телевидения</t>
  </si>
  <si>
    <t>2.8</t>
  </si>
  <si>
    <t>Антенное оборудование, сети радио-, телефонные, иные  коммуникационные сети</t>
  </si>
  <si>
    <t>2.8.1</t>
  </si>
  <si>
    <t>Ремонт, установка радио- и телевизионных антенн</t>
  </si>
  <si>
    <t>2.8.1.2</t>
  </si>
  <si>
    <t>Ремонт антенны</t>
  </si>
  <si>
    <t>2.8.1.2.3</t>
  </si>
  <si>
    <t>Ремонт приемной телевизионной антенны метрового диапазона волн, многоканальной, одно-двухэлементной</t>
  </si>
  <si>
    <t>1 антенна</t>
  </si>
  <si>
    <t>2.8.2</t>
  </si>
  <si>
    <t>Обслуживание  антенного  оборудования</t>
  </si>
  <si>
    <t>1000 кв.м.</t>
  </si>
  <si>
    <t>2.8.3</t>
  </si>
  <si>
    <t>Ремонт,  замена  антенного  оборудования</t>
  </si>
  <si>
    <t>2.8.3.1</t>
  </si>
  <si>
    <t>Ремонт (замена) кабеля снижения приемной антенны</t>
  </si>
  <si>
    <t>Уборка мест общего пользования</t>
  </si>
  <si>
    <t>3.1</t>
  </si>
  <si>
    <t>Работы по санитарному содержанию помещений общего пользования, системы мусороудаления и фасадов</t>
  </si>
  <si>
    <t>3.1.1</t>
  </si>
  <si>
    <t>Подметание и мытье полов во всех помещениях  общего пользования, кабинах лифта и их влажная уборка</t>
  </si>
  <si>
    <t>3.1.1.1</t>
  </si>
  <si>
    <t>Подметание и влажная уборка полов во всех помещениях  общего пользования в многоквартирном доме без лифтов и мусоропровода</t>
  </si>
  <si>
    <t>3.1.1.1.1</t>
  </si>
  <si>
    <t>Подметание лестничных площадок и маршей</t>
  </si>
  <si>
    <t>3.1.1.3.1.1</t>
  </si>
  <si>
    <t>Подметание лестничных площадок и маршей нижних трех этажей с предварительным их увлажнением (в доме с лифтами без мусоропроводов)</t>
  </si>
  <si>
    <t>100 м2  убираемой  площади</t>
  </si>
  <si>
    <t>3.1.1.3.1.2</t>
  </si>
  <si>
    <t>Подметание лестничных площадок и маршей выше третьего этажа с предварительным их увлажнением  (в доме с лифтами без мусоропроводов)</t>
  </si>
  <si>
    <t>100 м2 убираемой  площади</t>
  </si>
  <si>
    <t>3.1.1.3</t>
  </si>
  <si>
    <t>Подметание и влажная уборка полов во всех помещениях  общего пользования в многоквартирном доме с лифтами без  мусоропроводов</t>
  </si>
  <si>
    <t>3.1.1.3.2</t>
  </si>
  <si>
    <t>Мытье лестничных площадок и маршей</t>
  </si>
  <si>
    <t>3.1.1.3.2.1</t>
  </si>
  <si>
    <t>Мытье  лестничных площадок и маршей нижних трех этажей  (в доме с лифтами без мусоропроводов)</t>
  </si>
  <si>
    <t>3.1.1.3.2.2</t>
  </si>
  <si>
    <t>Мытье  лестничных площадок и маршей  выше третьего этажа  (в доме с лифтами без мусоропроводов)</t>
  </si>
  <si>
    <t>3.1.3</t>
  </si>
  <si>
    <t>Протирка пыли  с колпаков  светильников, подоконников в помещениях общего  пользования</t>
  </si>
  <si>
    <t>3.1.3.1</t>
  </si>
  <si>
    <t>Протирка пыли  с колпаков  светильников (в подвалах, на чердаках и лестничных клетках)</t>
  </si>
  <si>
    <t>3.1.3.2</t>
  </si>
  <si>
    <t>Протирка пыли  с подоконников в помещениях общего  пользования</t>
  </si>
  <si>
    <t xml:space="preserve">100 м2 подоконников </t>
  </si>
  <si>
    <t>3.1.4</t>
  </si>
  <si>
    <t>Мытье и протирка дверей и окон в помещениях общего пользования, включая двери  мусорных камер</t>
  </si>
  <si>
    <t>3.1.4.1</t>
  </si>
  <si>
    <t>Мытье и протирка дверей  в помещениях общего пользования</t>
  </si>
  <si>
    <t>100 м2 дверей</t>
  </si>
  <si>
    <t>3.1.4.3</t>
  </si>
  <si>
    <t>Мытье и протирка легкодоступных стекол в окнах  в помещениях общего пользования</t>
  </si>
  <si>
    <t>100 м2 окон</t>
  </si>
  <si>
    <t>3.1.9</t>
  </si>
  <si>
    <t>Влажная протирка элементов лестничных клеток</t>
  </si>
  <si>
    <t>3.1.9.1</t>
  </si>
  <si>
    <t>Влажная протирка почтовых ящиков (с моющим средством)</t>
  </si>
  <si>
    <t>100 кв.м почтовых ящиков</t>
  </si>
  <si>
    <t>3.1.11</t>
  </si>
  <si>
    <t>Обметание пыли с потолков</t>
  </si>
  <si>
    <t>100 кв. м. потолков</t>
  </si>
  <si>
    <t>Уборка мест придомовой территории</t>
  </si>
  <si>
    <t>3.2.1</t>
  </si>
  <si>
    <t>Подметание  земельного  участка в летний период</t>
  </si>
  <si>
    <t>3.2.1.1</t>
  </si>
  <si>
    <t>Подметание в летний период  земельного участка с усовершенствованным покрытием 1 класса</t>
  </si>
  <si>
    <t>1 000 кв.м. территории</t>
  </si>
  <si>
    <t>3.2.3</t>
  </si>
  <si>
    <t>Уборка и уход за газонами, очистка  урн</t>
  </si>
  <si>
    <t>3.2.3.1</t>
  </si>
  <si>
    <t>Уборка и уход за газонами</t>
  </si>
  <si>
    <t>3.2.3.1.1</t>
  </si>
  <si>
    <t>Уборка газонов средней засоренности от листьев, сучьев, мусора</t>
  </si>
  <si>
    <t>100 000 кв.м. территории</t>
  </si>
  <si>
    <t>3.2.3.1.4</t>
  </si>
  <si>
    <t>Полив газонов</t>
  </si>
  <si>
    <t>на 100 000 кв.м.</t>
  </si>
  <si>
    <t>3.2.3.1.5</t>
  </si>
  <si>
    <t>Стрижка газонов</t>
  </si>
  <si>
    <t>на 100 кв.м.</t>
  </si>
  <si>
    <t>3.2.3.2</t>
  </si>
  <si>
    <t>Содержание урн</t>
  </si>
  <si>
    <t>3.2.3.2.10</t>
  </si>
  <si>
    <t>Очистка опрокидывающихся урн от мусора</t>
  </si>
  <si>
    <t>на 100 урн</t>
  </si>
  <si>
    <t>3.2.7</t>
  </si>
  <si>
    <t>Сдвижка и  подметание снега  при снегопаде</t>
  </si>
  <si>
    <t>3.2.7.1</t>
  </si>
  <si>
    <t>Сдвижка и подметание снега при снегопаде на придомовой территории с усовершенствованным покрытием 1 класса</t>
  </si>
  <si>
    <t>10 000 кв.м. территории</t>
  </si>
  <si>
    <t>3.2.8</t>
  </si>
  <si>
    <t>Ликвидация наледи</t>
  </si>
  <si>
    <t>3.2.8.8</t>
  </si>
  <si>
    <t>Посыпка территории I класса</t>
  </si>
  <si>
    <t>3.2.10</t>
  </si>
  <si>
    <t>Механизированная уборка территории</t>
  </si>
  <si>
    <t>Погрузка снега и скола в автосамосвалы арендованными погрузчиками</t>
  </si>
  <si>
    <t>м3</t>
  </si>
  <si>
    <t>Вывоз снега с придомовой территории</t>
  </si>
  <si>
    <t>Утилизация вывезенного снега</t>
  </si>
  <si>
    <t>Cодержание контейнерной площадки</t>
  </si>
  <si>
    <t>3.1.2</t>
  </si>
  <si>
    <t>Обслуживание мусоропроводов</t>
  </si>
  <si>
    <t>3.1.2.5</t>
  </si>
  <si>
    <t>Дезинфекция мусоросборников</t>
  </si>
  <si>
    <t>3.1.2.5.3</t>
  </si>
  <si>
    <t>Дезинфекция мусоросборников (контейнеров)</t>
  </si>
  <si>
    <t>10 контейнеров</t>
  </si>
  <si>
    <t>3.2.14</t>
  </si>
  <si>
    <t>Очистка контейнерной площадки в холодный период</t>
  </si>
  <si>
    <t>3.2.15</t>
  </si>
  <si>
    <t>Уборка мусора на  контейнерных  площадках</t>
  </si>
  <si>
    <t>Дератизация, дезинсекция</t>
  </si>
  <si>
    <t>3.4</t>
  </si>
  <si>
    <t>Прочие работы</t>
  </si>
  <si>
    <t>3.4.1</t>
  </si>
  <si>
    <t>Дератизация чердаков и подвалов</t>
  </si>
  <si>
    <t>3.4.1.4</t>
  </si>
  <si>
    <t>Дератизация чердаков и подвалов с применением крысида - антикоагулянта III поколения</t>
  </si>
  <si>
    <t>1000 м2  обрабатываемых  помещений</t>
  </si>
  <si>
    <t>3.4.2</t>
  </si>
  <si>
    <t>Дезинсекция  подвалов</t>
  </si>
  <si>
    <t>СОИ</t>
  </si>
  <si>
    <t>Холодная вода на СОИ</t>
  </si>
  <si>
    <t>Электрическая энергия на СОИ</t>
  </si>
  <si>
    <t>Горячая вода на СОИ</t>
  </si>
  <si>
    <t>Управление многоквартирным домом</t>
  </si>
  <si>
    <t>ВСЕГО ПО СМЕТЕ:</t>
  </si>
  <si>
    <t>Проверил:</t>
  </si>
  <si>
    <t>Заместитель директора по ЖКХ</t>
  </si>
  <si>
    <t>(подпись)</t>
  </si>
  <si>
    <t>Заместитель директора по экономики</t>
  </si>
  <si>
    <t>С.И. Мухаметзянова</t>
  </si>
  <si>
    <t>Исп.: Н.В. Кириченкова</t>
  </si>
  <si>
    <t>А.В. Кутырев</t>
  </si>
  <si>
    <t>Ю.А. Кузнецов</t>
  </si>
  <si>
    <t>Д.А. Ковалев</t>
  </si>
  <si>
    <t>Стоимость с инфляцией 23,24,25г.г.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</si>
</sst>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.00"/>
    <numFmt numFmtId="165" formatCode="#,###,##0.00"/>
  </numFmts>
  <fonts count="1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FFFFFF"/>
      <name val="Times New Roman"/>
      <family val="1"/>
      <charset val="204"/>
    </font>
    <font>
      <b/>
      <sz val="11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99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70707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546E7A"/>
        <bgColor rgb="FF707070"/>
      </patternFill>
    </fill>
    <fill>
      <patternFill patternType="solid">
        <fgColor rgb="FFDCE6F1"/>
        <bgColor rgb="FFE0EFD4"/>
      </patternFill>
    </fill>
    <fill>
      <patternFill patternType="solid">
        <fgColor rgb="FFF9F7ED"/>
        <bgColor rgb="FFF2F2F2"/>
      </patternFill>
    </fill>
    <fill>
      <patternFill patternType="solid">
        <fgColor rgb="FFF5F2E0"/>
        <bgColor rgb="FFEBF1DE"/>
      </patternFill>
    </fill>
    <fill>
      <patternFill patternType="solid">
        <fgColor rgb="FFEBF1DE"/>
        <bgColor rgb="FFF5F2E0"/>
      </patternFill>
    </fill>
    <fill>
      <patternFill patternType="solid">
        <fgColor rgb="FFF2F2F2"/>
        <bgColor rgb="FFF9F7ED"/>
      </patternFill>
    </fill>
    <fill>
      <patternFill patternType="solid">
        <fgColor rgb="FFE0EFD4"/>
        <bgColor rgb="FFEBF1D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9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center" vertical="center" wrapText="1" indent="1"/>
    </xf>
    <xf numFmtId="49" fontId="2" fillId="0" borderId="0" xfId="0" applyNumberFormat="1" applyFont="1" applyBorder="1" applyAlignment="1">
      <alignment horizontal="center" vertical="center" wrapText="1" indent="1"/>
    </xf>
    <xf numFmtId="164" fontId="2" fillId="0" borderId="0" xfId="0" applyNumberFormat="1" applyFont="1" applyBorder="1" applyAlignment="1">
      <alignment horizontal="center" vertical="center" wrapText="1" inden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2" fontId="2" fillId="0" borderId="0" xfId="0" applyNumberFormat="1" applyFont="1" applyBorder="1" applyAlignment="1">
      <alignment horizontal="center" vertical="center" wrapText="1" indent="1"/>
    </xf>
    <xf numFmtId="0" fontId="2" fillId="2" borderId="2" xfId="0" applyFont="1" applyFill="1" applyBorder="1" applyAlignment="1">
      <alignment horizontal="center" vertical="center" wrapText="1" indent="1"/>
    </xf>
    <xf numFmtId="49" fontId="2" fillId="2" borderId="3" xfId="0" applyNumberFormat="1" applyFont="1" applyFill="1" applyBorder="1" applyAlignment="1">
      <alignment horizontal="center" vertical="center" wrapText="1" indent="1"/>
    </xf>
    <xf numFmtId="0" fontId="2" fillId="2" borderId="3" xfId="0" applyFont="1" applyFill="1" applyBorder="1" applyAlignment="1">
      <alignment horizontal="center" vertical="center" wrapText="1" indent="1"/>
    </xf>
    <xf numFmtId="164" fontId="2" fillId="2" borderId="3" xfId="0" applyNumberFormat="1" applyFont="1" applyFill="1" applyBorder="1" applyAlignment="1">
      <alignment horizontal="center" vertical="center" wrapText="1" indent="1"/>
    </xf>
    <xf numFmtId="2" fontId="2" fillId="2" borderId="4" xfId="0" applyNumberFormat="1" applyFont="1" applyFill="1" applyBorder="1" applyAlignment="1">
      <alignment horizontal="center" vertical="center" wrapText="1" indent="1"/>
    </xf>
    <xf numFmtId="0" fontId="7" fillId="0" borderId="5" xfId="0" applyFont="1" applyBorder="1" applyAlignment="1">
      <alignment horizontal="left" vertical="center" indent="1"/>
    </xf>
    <xf numFmtId="164" fontId="8" fillId="0" borderId="6" xfId="0" applyNumberFormat="1" applyFont="1" applyBorder="1" applyAlignment="1">
      <alignment horizontal="right" indent="1"/>
    </xf>
    <xf numFmtId="164" fontId="8" fillId="0" borderId="8" xfId="0" applyNumberFormat="1" applyFont="1" applyBorder="1" applyAlignment="1">
      <alignment horizontal="right" indent="1"/>
    </xf>
    <xf numFmtId="164" fontId="8" fillId="0" borderId="9" xfId="0" applyNumberFormat="1" applyFont="1" applyBorder="1" applyAlignment="1">
      <alignment horizontal="left"/>
    </xf>
    <xf numFmtId="0" fontId="9" fillId="3" borderId="10" xfId="0" applyFont="1" applyFill="1" applyBorder="1" applyAlignment="1">
      <alignment horizontal="center" vertical="top" wrapText="1" indent="1"/>
    </xf>
    <xf numFmtId="49" fontId="9" fillId="3" borderId="11" xfId="0" applyNumberFormat="1" applyFont="1" applyFill="1" applyBorder="1" applyAlignment="1">
      <alignment horizontal="left" vertical="top" wrapText="1" indent="1"/>
    </xf>
    <xf numFmtId="0" fontId="9" fillId="3" borderId="12" xfId="0" applyFont="1" applyFill="1" applyBorder="1" applyAlignment="1">
      <alignment horizontal="left" vertical="top" wrapText="1"/>
    </xf>
    <xf numFmtId="0" fontId="10" fillId="0" borderId="10" xfId="0" applyFont="1" applyBorder="1" applyAlignment="1">
      <alignment horizontal="center" vertical="top" wrapText="1" indent="1"/>
    </xf>
    <xf numFmtId="49" fontId="10" fillId="0" borderId="11" xfId="0" applyNumberFormat="1" applyFont="1" applyBorder="1" applyAlignment="1">
      <alignment horizontal="left" vertical="top" wrapText="1" indent="1"/>
    </xf>
    <xf numFmtId="0" fontId="10" fillId="0" borderId="11" xfId="0" applyFont="1" applyBorder="1" applyAlignment="1">
      <alignment horizontal="left" vertical="top" wrapText="1"/>
    </xf>
    <xf numFmtId="0" fontId="10" fillId="4" borderId="11" xfId="0" applyFont="1" applyFill="1" applyBorder="1" applyAlignment="1">
      <alignment horizontal="center" vertical="top"/>
    </xf>
    <xf numFmtId="0" fontId="10" fillId="5" borderId="11" xfId="0" applyFont="1" applyFill="1" applyBorder="1" applyAlignment="1">
      <alignment horizontal="center" vertical="top"/>
    </xf>
    <xf numFmtId="164" fontId="10" fillId="0" borderId="11" xfId="0" applyNumberFormat="1" applyFont="1" applyBorder="1" applyAlignment="1">
      <alignment horizontal="center" vertical="top"/>
    </xf>
    <xf numFmtId="164" fontId="10" fillId="6" borderId="11" xfId="0" applyNumberFormat="1" applyFont="1" applyFill="1" applyBorder="1" applyAlignment="1">
      <alignment horizontal="center" vertical="top"/>
    </xf>
    <xf numFmtId="164" fontId="10" fillId="0" borderId="12" xfId="0" applyNumberFormat="1" applyFont="1" applyBorder="1" applyAlignment="1">
      <alignment horizontal="center" vertical="top"/>
    </xf>
    <xf numFmtId="0" fontId="11" fillId="7" borderId="10" xfId="0" applyFont="1" applyFill="1" applyBorder="1" applyAlignment="1">
      <alignment horizontal="center" vertical="top" wrapText="1" indent="1"/>
    </xf>
    <xf numFmtId="49" fontId="11" fillId="7" borderId="11" xfId="0" applyNumberFormat="1" applyFont="1" applyFill="1" applyBorder="1" applyAlignment="1">
      <alignment horizontal="left" vertical="top" wrapText="1" indent="1"/>
    </xf>
    <xf numFmtId="0" fontId="11" fillId="7" borderId="12" xfId="0" applyFont="1" applyFill="1" applyBorder="1" applyAlignment="1">
      <alignment indent="1"/>
    </xf>
    <xf numFmtId="0" fontId="11" fillId="7" borderId="12" xfId="0" applyFont="1" applyFill="1" applyBorder="1" applyAlignment="1">
      <alignment indent="15"/>
    </xf>
    <xf numFmtId="2" fontId="10" fillId="4" borderId="11" xfId="0" applyNumberFormat="1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right" vertical="center" wrapText="1" inden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0" fontId="11" fillId="7" borderId="12" xfId="0" applyFont="1" applyFill="1" applyBorder="1" applyAlignment="1">
      <alignment indent="12"/>
    </xf>
    <xf numFmtId="0" fontId="10" fillId="4" borderId="11" xfId="0" applyFont="1" applyFill="1" applyBorder="1" applyAlignment="1">
      <alignment horizontal="right" vertical="top" indent="1"/>
    </xf>
    <xf numFmtId="0" fontId="10" fillId="5" borderId="11" xfId="0" applyFont="1" applyFill="1" applyBorder="1" applyAlignment="1">
      <alignment horizontal="right" vertical="top" indent="1"/>
    </xf>
    <xf numFmtId="165" fontId="10" fillId="0" borderId="11" xfId="0" applyNumberFormat="1" applyFont="1" applyBorder="1" applyAlignment="1">
      <alignment horizontal="right" vertical="top" indent="1"/>
    </xf>
    <xf numFmtId="165" fontId="10" fillId="6" borderId="11" xfId="0" applyNumberFormat="1" applyFont="1" applyFill="1" applyBorder="1" applyAlignment="1">
      <alignment horizontal="right" vertical="top" indent="1"/>
    </xf>
    <xf numFmtId="0" fontId="11" fillId="7" borderId="12" xfId="0" applyFont="1" applyFill="1" applyBorder="1" applyAlignment="1">
      <alignment indent="9"/>
    </xf>
    <xf numFmtId="0" fontId="10" fillId="0" borderId="13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center" vertical="top"/>
    </xf>
    <xf numFmtId="39" fontId="10" fillId="0" borderId="11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10" fillId="8" borderId="11" xfId="0" applyNumberFormat="1" applyFont="1" applyFill="1" applyBorder="1" applyAlignment="1">
      <alignment horizontal="center" vertical="top"/>
    </xf>
    <xf numFmtId="0" fontId="11" fillId="7" borderId="12" xfId="0" applyFont="1" applyFill="1" applyBorder="1" applyAlignment="1">
      <alignment indent="7"/>
    </xf>
    <xf numFmtId="39" fontId="10" fillId="5" borderId="11" xfId="0" applyNumberFormat="1" applyFont="1" applyFill="1" applyBorder="1" applyAlignment="1">
      <alignment horizontal="center" vertical="top"/>
    </xf>
    <xf numFmtId="0" fontId="7" fillId="0" borderId="14" xfId="0" applyFont="1" applyBorder="1" applyAlignment="1">
      <alignment horizontal="left" vertical="center" indent="1"/>
    </xf>
    <xf numFmtId="0" fontId="6" fillId="0" borderId="5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6" xfId="0" applyFont="1" applyBorder="1" applyAlignment="1">
      <alignment horizontal="center"/>
    </xf>
    <xf numFmtId="39" fontId="6" fillId="0" borderId="16" xfId="0" applyNumberFormat="1" applyFont="1" applyBorder="1" applyAlignment="1">
      <alignment horizontal="center"/>
    </xf>
    <xf numFmtId="164" fontId="6" fillId="0" borderId="17" xfId="0" applyNumberFormat="1" applyFont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 vertical="center" wrapText="1" indent="1"/>
    </xf>
    <xf numFmtId="164" fontId="10" fillId="6" borderId="13" xfId="0" applyNumberFormat="1" applyFont="1" applyFill="1" applyBorder="1" applyAlignment="1">
      <alignment horizontal="center" vertical="top"/>
    </xf>
    <xf numFmtId="165" fontId="10" fillId="6" borderId="13" xfId="0" applyNumberFormat="1" applyFont="1" applyFill="1" applyBorder="1" applyAlignment="1">
      <alignment horizontal="right" vertical="top" indent="1"/>
    </xf>
    <xf numFmtId="164" fontId="10" fillId="8" borderId="13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14" fontId="8" fillId="0" borderId="7" xfId="0" applyNumberFormat="1" applyFont="1" applyBorder="1" applyAlignment="1"/>
    <xf numFmtId="0" fontId="10" fillId="0" borderId="11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center" vertical="top"/>
    </xf>
    <xf numFmtId="164" fontId="10" fillId="0" borderId="11" xfId="0" applyNumberFormat="1" applyFont="1" applyFill="1" applyBorder="1" applyAlignment="1">
      <alignment horizontal="center" vertical="top"/>
    </xf>
    <xf numFmtId="164" fontId="10" fillId="0" borderId="13" xfId="0" applyNumberFormat="1" applyFont="1" applyFill="1" applyBorder="1" applyAlignment="1">
      <alignment horizontal="center" vertical="top"/>
    </xf>
    <xf numFmtId="164" fontId="10" fillId="0" borderId="12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99"/>
      <rgbColor rgb="FF808000"/>
      <rgbColor rgb="FF800080"/>
      <rgbColor rgb="FF008080"/>
      <rgbColor rgb="FFC0C0C0"/>
      <rgbColor rgb="FF707070"/>
      <rgbColor rgb="FF9999FF"/>
      <rgbColor rgb="FF993366"/>
      <rgbColor rgb="FFF9F7ED"/>
      <rgbColor rgb="FFDCE6F1"/>
      <rgbColor rgb="FF660066"/>
      <rgbColor rgb="FFFF8080"/>
      <rgbColor rgb="FF0066CC"/>
      <rgbColor rgb="FFF2F2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1DE"/>
      <rgbColor rgb="FFE0EFD4"/>
      <rgbColor rgb="FFF5F2E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46E7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535"/>
  <sheetViews>
    <sheetView tabSelected="1" topLeftCell="B503" zoomScaleNormal="100" workbookViewId="0">
      <selection activeCell="L532" sqref="L532"/>
    </sheetView>
  </sheetViews>
  <sheetFormatPr defaultRowHeight="15" x14ac:dyDescent="0.25"/>
  <cols>
    <col min="1" max="1" width="0" style="12" hidden="1" customWidth="1"/>
    <col min="2" max="3" width="9.140625" style="12"/>
    <col min="4" max="4" width="56" style="12" customWidth="1"/>
    <col min="5" max="5" width="31.7109375" style="12" customWidth="1"/>
    <col min="6" max="6" width="9.140625" style="12"/>
    <col min="7" max="7" width="11.85546875" style="12" customWidth="1"/>
    <col min="8" max="8" width="14.7109375" style="12" bestFit="1" customWidth="1"/>
    <col min="9" max="9" width="22.5703125" style="12" bestFit="1" customWidth="1"/>
    <col min="10" max="10" width="12" style="12" bestFit="1" customWidth="1"/>
    <col min="11" max="11" width="14.7109375" style="12" bestFit="1" customWidth="1"/>
    <col min="12" max="12" width="15.7109375" style="12" customWidth="1"/>
    <col min="13" max="13" width="13.7109375" style="12" customWidth="1"/>
    <col min="14" max="14" width="14.42578125" style="12" customWidth="1"/>
    <col min="15" max="15" width="15.5703125" style="12" customWidth="1"/>
    <col min="16" max="16" width="13.5703125" style="12" customWidth="1"/>
    <col min="17" max="16384" width="9.140625" style="12"/>
  </cols>
  <sheetData>
    <row r="1" spans="2:21" ht="16.5" x14ac:dyDescent="0.25">
      <c r="B1" s="6"/>
      <c r="C1" s="7"/>
      <c r="D1" s="6"/>
      <c r="E1" s="6"/>
      <c r="F1" s="6"/>
      <c r="G1" s="6"/>
      <c r="H1" s="8"/>
      <c r="I1" s="8"/>
      <c r="J1" s="8"/>
      <c r="K1" s="8"/>
      <c r="L1" s="9" t="s">
        <v>0</v>
      </c>
      <c r="M1" s="10"/>
      <c r="N1" s="10"/>
      <c r="O1" s="10"/>
      <c r="P1" s="11"/>
    </row>
    <row r="2" spans="2:21" ht="16.5" x14ac:dyDescent="0.25">
      <c r="B2" s="6"/>
      <c r="C2" s="7"/>
      <c r="D2" s="6"/>
      <c r="E2" s="6"/>
      <c r="F2" s="6"/>
      <c r="G2" s="6"/>
      <c r="H2" s="8"/>
      <c r="I2" s="8"/>
      <c r="J2" s="8"/>
      <c r="K2" s="8"/>
      <c r="L2" s="13" t="s">
        <v>1</v>
      </c>
      <c r="M2" s="10"/>
      <c r="N2" s="10"/>
      <c r="O2" s="10"/>
      <c r="P2" s="11"/>
    </row>
    <row r="3" spans="2:21" ht="16.5" x14ac:dyDescent="0.25">
      <c r="B3" s="6"/>
      <c r="C3" s="7"/>
      <c r="D3" s="6"/>
      <c r="E3" s="6"/>
      <c r="F3" s="6"/>
      <c r="G3" s="6"/>
      <c r="H3" s="8"/>
      <c r="I3" s="8"/>
      <c r="J3" s="8"/>
      <c r="K3" s="8"/>
      <c r="L3" s="14"/>
      <c r="M3" s="10"/>
      <c r="N3" s="10"/>
      <c r="O3" s="10"/>
      <c r="P3" s="11"/>
    </row>
    <row r="4" spans="2:21" ht="16.5" x14ac:dyDescent="0.25">
      <c r="B4" s="6"/>
      <c r="C4" s="7"/>
      <c r="D4" s="6"/>
      <c r="E4" s="6"/>
      <c r="F4" s="6"/>
      <c r="G4" s="6"/>
      <c r="H4" s="8"/>
      <c r="I4" s="8"/>
      <c r="J4" s="8"/>
      <c r="K4" s="8"/>
      <c r="L4" s="15"/>
      <c r="M4" s="15"/>
      <c r="N4" s="14" t="s">
        <v>1098</v>
      </c>
      <c r="O4" s="14"/>
      <c r="P4" s="11"/>
    </row>
    <row r="5" spans="2:21" x14ac:dyDescent="0.25">
      <c r="B5" s="6"/>
      <c r="C5" s="7"/>
      <c r="D5" s="6"/>
      <c r="E5" s="6"/>
      <c r="F5" s="6"/>
      <c r="G5" s="16" t="s">
        <v>2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2:21" x14ac:dyDescent="0.25">
      <c r="B6" s="6"/>
      <c r="C6" s="7"/>
      <c r="D6" s="6"/>
      <c r="E6" s="6"/>
      <c r="F6" s="6"/>
      <c r="G6" s="6"/>
      <c r="H6" s="8"/>
      <c r="I6" s="8"/>
      <c r="J6" s="8"/>
      <c r="K6" s="8"/>
      <c r="L6" s="8"/>
      <c r="M6" s="8"/>
      <c r="N6" s="8"/>
      <c r="O6" s="8"/>
      <c r="P6" s="17"/>
    </row>
    <row r="7" spans="2:21" ht="70.5" customHeight="1" x14ac:dyDescent="0.25">
      <c r="B7" s="18" t="s">
        <v>3</v>
      </c>
      <c r="C7" s="19" t="s">
        <v>4</v>
      </c>
      <c r="D7" s="20" t="s">
        <v>5</v>
      </c>
      <c r="E7" s="20" t="s">
        <v>6</v>
      </c>
      <c r="F7" s="20" t="s">
        <v>7</v>
      </c>
      <c r="G7" s="20" t="s">
        <v>8</v>
      </c>
      <c r="H7" s="21" t="s">
        <v>9</v>
      </c>
      <c r="I7" s="21" t="s">
        <v>10</v>
      </c>
      <c r="J7" s="21" t="s">
        <v>11</v>
      </c>
      <c r="K7" s="21" t="s">
        <v>12</v>
      </c>
      <c r="L7" s="21" t="s">
        <v>13</v>
      </c>
      <c r="M7" s="21" t="s">
        <v>14</v>
      </c>
      <c r="N7" s="21" t="s">
        <v>15</v>
      </c>
      <c r="O7" s="70" t="s">
        <v>1101</v>
      </c>
      <c r="P7" s="22" t="s">
        <v>16</v>
      </c>
    </row>
    <row r="8" spans="2:21" x14ac:dyDescent="0.25">
      <c r="B8" s="23" t="s">
        <v>17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4" t="s">
        <v>18</v>
      </c>
      <c r="N8" s="24"/>
      <c r="O8" s="24"/>
      <c r="P8" s="75">
        <v>46085</v>
      </c>
    </row>
    <row r="9" spans="2:21" x14ac:dyDescent="0.25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5" t="s">
        <v>19</v>
      </c>
      <c r="N9" s="25"/>
      <c r="O9" s="25"/>
      <c r="P9" s="26">
        <v>12372</v>
      </c>
    </row>
    <row r="10" spans="2:21" x14ac:dyDescent="0.25">
      <c r="B10" s="27"/>
      <c r="C10" s="28" t="s">
        <v>20</v>
      </c>
      <c r="D10" s="29" t="s">
        <v>21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2:21" x14ac:dyDescent="0.25">
      <c r="B11" s="30">
        <v>1</v>
      </c>
      <c r="C11" s="31" t="s">
        <v>22</v>
      </c>
      <c r="D11" s="32" t="s">
        <v>23</v>
      </c>
      <c r="E11" s="32" t="s">
        <v>24</v>
      </c>
      <c r="F11" s="33">
        <v>1</v>
      </c>
      <c r="G11" s="34">
        <v>0.5</v>
      </c>
      <c r="H11" s="35">
        <f>F11 * G11 * 499.04682</f>
        <v>249.52341000000001</v>
      </c>
      <c r="I11" s="35">
        <f>F11 * G11 * 0</f>
        <v>0</v>
      </c>
      <c r="J11" s="35">
        <f t="shared" ref="J11:J16" si="0">F11 * G11 * 0</f>
        <v>0</v>
      </c>
      <c r="K11" s="35">
        <f>F11 * G11 * 475.092573</f>
        <v>237.54628650000001</v>
      </c>
      <c r="L11" s="35">
        <f>F11 * G11 * 102.284636</f>
        <v>51.142318000000003</v>
      </c>
      <c r="M11" s="35">
        <f>F11 * G11 * 99.809364</f>
        <v>49.904682000000001</v>
      </c>
      <c r="N11" s="36">
        <f t="shared" ref="N11:N16" si="1">SUM(H11:M11)</f>
        <v>588.11669649999999</v>
      </c>
      <c r="O11" s="71">
        <f>N11*1.07*1.09*1.05</f>
        <v>720.21652828434753</v>
      </c>
      <c r="P11" s="37">
        <f>IF($P$9&gt;0,O11/$P$9/12,0)</f>
        <v>4.851118980253445E-3</v>
      </c>
    </row>
    <row r="12" spans="2:21" ht="30" x14ac:dyDescent="0.25">
      <c r="B12" s="30">
        <v>2</v>
      </c>
      <c r="C12" s="31" t="s">
        <v>25</v>
      </c>
      <c r="D12" s="32" t="s">
        <v>26</v>
      </c>
      <c r="E12" s="32" t="s">
        <v>27</v>
      </c>
      <c r="F12" s="33">
        <v>0.03</v>
      </c>
      <c r="G12" s="34">
        <v>2</v>
      </c>
      <c r="H12" s="35">
        <f>F12 * G12 * 9350.726695</f>
        <v>561.04360169999995</v>
      </c>
      <c r="I12" s="35">
        <f>F12 * G12 * 23734.870938</f>
        <v>1424.0922562799999</v>
      </c>
      <c r="J12" s="35">
        <f t="shared" si="0"/>
        <v>0</v>
      </c>
      <c r="K12" s="35">
        <f>F12 * G12 * 8901.89181399999</f>
        <v>534.11350883999933</v>
      </c>
      <c r="L12" s="35">
        <f>F12 * G12 * 4408.686392</f>
        <v>264.52118351999997</v>
      </c>
      <c r="M12" s="35">
        <f>F12 * G12 * 1870.145339</f>
        <v>112.20872033999999</v>
      </c>
      <c r="N12" s="36">
        <f t="shared" si="1"/>
        <v>2895.979270679999</v>
      </c>
      <c r="O12" s="71">
        <f t="shared" ref="O12:O16" si="2">N12*1.07*1.09*1.05</f>
        <v>3546.4596545637878</v>
      </c>
      <c r="P12" s="37">
        <f t="shared" ref="P12:P16" si="3">IF($P$9&gt;0,O12/$P$9/12,0)</f>
        <v>2.3887674147024113E-2</v>
      </c>
    </row>
    <row r="13" spans="2:21" x14ac:dyDescent="0.25">
      <c r="B13" s="30">
        <v>3</v>
      </c>
      <c r="C13" s="31" t="s">
        <v>28</v>
      </c>
      <c r="D13" s="32" t="s">
        <v>29</v>
      </c>
      <c r="E13" s="32" t="s">
        <v>30</v>
      </c>
      <c r="F13" s="33">
        <v>2</v>
      </c>
      <c r="G13" s="34">
        <v>2</v>
      </c>
      <c r="H13" s="35">
        <f>F13 * G13 * 678.213195</f>
        <v>2712.8527800000002</v>
      </c>
      <c r="I13" s="35">
        <f>F13 * G13 * 1094.030647</f>
        <v>4376.1225880000002</v>
      </c>
      <c r="J13" s="35">
        <f t="shared" si="0"/>
        <v>0</v>
      </c>
      <c r="K13" s="35">
        <f>F13 * G13 * 645.658962</f>
        <v>2582.6358479999999</v>
      </c>
      <c r="L13" s="35">
        <f>F13 * G13 * 253.879794</f>
        <v>1015.519176</v>
      </c>
      <c r="M13" s="35">
        <f>F13 * G13 * 135.642639</f>
        <v>542.57055600000001</v>
      </c>
      <c r="N13" s="36">
        <f t="shared" si="1"/>
        <v>11229.700948000002</v>
      </c>
      <c r="O13" s="71">
        <f t="shared" si="2"/>
        <v>13752.060226435024</v>
      </c>
      <c r="P13" s="37">
        <f t="shared" si="3"/>
        <v>9.2628921667441425E-2</v>
      </c>
    </row>
    <row r="14" spans="2:21" x14ac:dyDescent="0.25">
      <c r="B14" s="30">
        <v>4</v>
      </c>
      <c r="C14" s="31" t="s">
        <v>31</v>
      </c>
      <c r="D14" s="32" t="s">
        <v>32</v>
      </c>
      <c r="E14" s="32" t="s">
        <v>33</v>
      </c>
      <c r="F14" s="33">
        <v>0.23</v>
      </c>
      <c r="G14" s="34">
        <v>1</v>
      </c>
      <c r="H14" s="35">
        <f>F14 * G14 * 7479.796585</f>
        <v>1720.3532145500001</v>
      </c>
      <c r="I14" s="35">
        <f>F14 * G14 * 49695.914682</f>
        <v>11430.060376860001</v>
      </c>
      <c r="J14" s="35">
        <f t="shared" si="0"/>
        <v>0</v>
      </c>
      <c r="K14" s="35">
        <f>F14 * G14 * 7120.76634899999</f>
        <v>1637.7762602699979</v>
      </c>
      <c r="L14" s="35">
        <f>F14 * G14 * 6751.13015</f>
        <v>1552.7599345000001</v>
      </c>
      <c r="M14" s="35">
        <f>F14 * G14 * 1495.959317</f>
        <v>344.07064291</v>
      </c>
      <c r="N14" s="36">
        <f t="shared" si="1"/>
        <v>16685.02042909</v>
      </c>
      <c r="O14" s="71">
        <f t="shared" si="2"/>
        <v>20432.726292770054</v>
      </c>
      <c r="P14" s="37">
        <f t="shared" si="3"/>
        <v>0.13762748068737238</v>
      </c>
    </row>
    <row r="15" spans="2:21" ht="45" x14ac:dyDescent="0.25">
      <c r="B15" s="30">
        <v>5</v>
      </c>
      <c r="C15" s="31" t="s">
        <v>34</v>
      </c>
      <c r="D15" s="32" t="s">
        <v>35</v>
      </c>
      <c r="E15" s="32" t="s">
        <v>36</v>
      </c>
      <c r="F15" s="33">
        <v>0.06</v>
      </c>
      <c r="G15" s="34">
        <v>1</v>
      </c>
      <c r="H15" s="35">
        <f>F15 * G15 * 13047.290225</f>
        <v>782.83741350000003</v>
      </c>
      <c r="I15" s="35">
        <f>F15 * G15 * 11889.934531</f>
        <v>713.39607186000001</v>
      </c>
      <c r="J15" s="35">
        <f t="shared" si="0"/>
        <v>0</v>
      </c>
      <c r="K15" s="35">
        <f>F15 * G15 * 12421.020294</f>
        <v>745.26121763999993</v>
      </c>
      <c r="L15" s="35">
        <f>F15 * G15 * 3922.61573</f>
        <v>235.35694379999998</v>
      </c>
      <c r="M15" s="35">
        <f>F15 * G15 * 2609.458045</f>
        <v>156.5674827</v>
      </c>
      <c r="N15" s="36">
        <f t="shared" si="1"/>
        <v>2633.4191294999996</v>
      </c>
      <c r="O15" s="71">
        <f t="shared" si="2"/>
        <v>3224.9245672726429</v>
      </c>
      <c r="P15" s="37">
        <f t="shared" si="3"/>
        <v>2.1721929675023191E-2</v>
      </c>
    </row>
    <row r="16" spans="2:21" x14ac:dyDescent="0.25">
      <c r="B16" s="30">
        <v>6</v>
      </c>
      <c r="C16" s="31" t="s">
        <v>37</v>
      </c>
      <c r="D16" s="32" t="s">
        <v>38</v>
      </c>
      <c r="E16" s="32" t="s">
        <v>39</v>
      </c>
      <c r="F16" s="33">
        <v>12</v>
      </c>
      <c r="G16" s="34">
        <v>1</v>
      </c>
      <c r="H16" s="35">
        <f>F16 * G16 * 89.07382</f>
        <v>1068.8858399999999</v>
      </c>
      <c r="I16" s="35">
        <f>F16 * G16 * 107.100656</f>
        <v>1285.207872</v>
      </c>
      <c r="J16" s="35">
        <f t="shared" si="0"/>
        <v>0</v>
      </c>
      <c r="K16" s="35">
        <f>F16 * G16 * 84.798277</f>
        <v>1017.579324</v>
      </c>
      <c r="L16" s="35">
        <f>F16 * G16 * 29.502139</f>
        <v>354.025668</v>
      </c>
      <c r="M16" s="35">
        <f>F16 * G16 * 17.814764</f>
        <v>213.77716800000002</v>
      </c>
      <c r="N16" s="36">
        <f t="shared" si="1"/>
        <v>3939.4758720000004</v>
      </c>
      <c r="O16" s="71">
        <f t="shared" si="2"/>
        <v>4824.3412449892812</v>
      </c>
      <c r="P16" s="37">
        <f t="shared" si="3"/>
        <v>3.2495024012483033E-2</v>
      </c>
    </row>
    <row r="17" spans="2:16" x14ac:dyDescent="0.25">
      <c r="B17" s="27"/>
      <c r="C17" s="28" t="s">
        <v>40</v>
      </c>
      <c r="D17" s="29" t="s">
        <v>41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</row>
    <row r="18" spans="2:16" x14ac:dyDescent="0.25">
      <c r="B18" s="38"/>
      <c r="C18" s="39" t="s">
        <v>42</v>
      </c>
      <c r="D18" s="40" t="s">
        <v>43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2:16" x14ac:dyDescent="0.25">
      <c r="B19" s="38"/>
      <c r="C19" s="39" t="s">
        <v>44</v>
      </c>
      <c r="D19" s="41" t="s">
        <v>45</v>
      </c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</row>
    <row r="20" spans="2:16" ht="30" x14ac:dyDescent="0.25">
      <c r="B20" s="30">
        <v>7</v>
      </c>
      <c r="C20" s="31" t="s">
        <v>46</v>
      </c>
      <c r="D20" s="32" t="s">
        <v>47</v>
      </c>
      <c r="E20" s="32" t="s">
        <v>48</v>
      </c>
      <c r="F20" s="33">
        <v>0.02</v>
      </c>
      <c r="G20" s="34">
        <v>1</v>
      </c>
      <c r="H20" s="35">
        <f>F20 * G20 * 3082.78725</f>
        <v>61.655744999999996</v>
      </c>
      <c r="I20" s="35">
        <f>F20 * G20 * 4283.798967</f>
        <v>85.675979339999998</v>
      </c>
      <c r="J20" s="35">
        <f>F20 * G20 * 1011.318</f>
        <v>20.22636</v>
      </c>
      <c r="K20" s="35">
        <f>F20 * G20 * 2934.813463</f>
        <v>58.696269260000001</v>
      </c>
      <c r="L20" s="35">
        <f>F20 * G20 * 1187.835356</f>
        <v>23.756707120000002</v>
      </c>
      <c r="M20" s="35">
        <f>F20 * G20 * 616.55745</f>
        <v>12.331149</v>
      </c>
      <c r="N20" s="36">
        <f>SUM(H20:M20)</f>
        <v>262.34220971999997</v>
      </c>
      <c r="O20" s="71">
        <f>N20*1.07*1.09*1.05</f>
        <v>321.26820515625781</v>
      </c>
      <c r="P20" s="37">
        <f>IF($P$9&gt;0,O20/$P$9/12,0)</f>
        <v>2.1639468501202836E-3</v>
      </c>
    </row>
    <row r="21" spans="2:16" ht="28.5" x14ac:dyDescent="0.25">
      <c r="B21" s="38"/>
      <c r="C21" s="39" t="s">
        <v>49</v>
      </c>
      <c r="D21" s="41" t="s">
        <v>50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</row>
    <row r="22" spans="2:16" ht="30" x14ac:dyDescent="0.25">
      <c r="B22" s="30">
        <v>8</v>
      </c>
      <c r="C22" s="31" t="s">
        <v>51</v>
      </c>
      <c r="D22" s="32" t="s">
        <v>52</v>
      </c>
      <c r="E22" s="32" t="s">
        <v>53</v>
      </c>
      <c r="F22" s="33">
        <v>0.02</v>
      </c>
      <c r="G22" s="34">
        <v>1</v>
      </c>
      <c r="H22" s="35">
        <f>F22 * G22 * 43159.0215</f>
        <v>863.18043000000011</v>
      </c>
      <c r="I22" s="35">
        <f>F22 * G22 * 71998.996937</f>
        <v>1439.9799387400001</v>
      </c>
      <c r="J22" s="35">
        <f>F22 * G22 * 14158.452</f>
        <v>283.16904</v>
      </c>
      <c r="K22" s="35">
        <f>F22 * G22 * 41087.388468</f>
        <v>821.74776936000001</v>
      </c>
      <c r="L22" s="35">
        <f>F22 * G22 * 17892.405186</f>
        <v>357.84810371999998</v>
      </c>
      <c r="M22" s="35">
        <f>F22 * G22 * 8631.8043</f>
        <v>172.63608600000001</v>
      </c>
      <c r="N22" s="36">
        <f>SUM(H22:M22)</f>
        <v>3938.5613678199998</v>
      </c>
      <c r="O22" s="71">
        <f t="shared" ref="O22:O23" si="4">N22*1.07*1.09*1.05</f>
        <v>4823.2213294528901</v>
      </c>
      <c r="P22" s="37">
        <f t="shared" ref="P22:P23" si="5">IF($P$9&gt;0,O22/$P$9/12,0)</f>
        <v>3.2487480665029163E-2</v>
      </c>
    </row>
    <row r="23" spans="2:16" ht="30" x14ac:dyDescent="0.25">
      <c r="B23" s="30">
        <v>9</v>
      </c>
      <c r="C23" s="31" t="s">
        <v>54</v>
      </c>
      <c r="D23" s="32" t="s">
        <v>55</v>
      </c>
      <c r="E23" s="32" t="s">
        <v>53</v>
      </c>
      <c r="F23" s="33">
        <v>0.02</v>
      </c>
      <c r="G23" s="34">
        <v>1</v>
      </c>
      <c r="H23" s="35">
        <f>F23 * G23 * 63916.45565</f>
        <v>1278.329113</v>
      </c>
      <c r="I23" s="35">
        <f>F23 * G23 * 140913.712084</f>
        <v>2818.2742416800002</v>
      </c>
      <c r="J23" s="35">
        <f>F23 * G23 * 20967.9932</f>
        <v>419.35986400000002</v>
      </c>
      <c r="K23" s="35">
        <f>F23 * G23 * 60848.465779</f>
        <v>1216.9693155800001</v>
      </c>
      <c r="L23" s="35">
        <f>F23 * G23 * 30097.895805</f>
        <v>601.95791610000003</v>
      </c>
      <c r="M23" s="35">
        <f>F23 * G23 * 12783.29113</f>
        <v>255.66582259999998</v>
      </c>
      <c r="N23" s="36">
        <f>SUM(H23:M23)</f>
        <v>6590.5562729600006</v>
      </c>
      <c r="O23" s="71">
        <f t="shared" si="4"/>
        <v>8070.894070210913</v>
      </c>
      <c r="P23" s="37">
        <f t="shared" si="5"/>
        <v>5.436263383857981E-2</v>
      </c>
    </row>
    <row r="24" spans="2:16" ht="28.5" x14ac:dyDescent="0.25">
      <c r="B24" s="38"/>
      <c r="C24" s="39" t="s">
        <v>56</v>
      </c>
      <c r="D24" s="41" t="s">
        <v>57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</row>
    <row r="25" spans="2:16" ht="30" x14ac:dyDescent="0.25">
      <c r="B25" s="30">
        <v>10</v>
      </c>
      <c r="C25" s="31" t="s">
        <v>58</v>
      </c>
      <c r="D25" s="32" t="s">
        <v>59</v>
      </c>
      <c r="E25" s="32" t="s">
        <v>60</v>
      </c>
      <c r="F25" s="33">
        <v>0.02</v>
      </c>
      <c r="G25" s="34">
        <v>1</v>
      </c>
      <c r="H25" s="35">
        <f>F25 * G25 * 26317.265</f>
        <v>526.34529999999995</v>
      </c>
      <c r="I25" s="35">
        <f>F25 * G25 * 57908.09052</f>
        <v>1158.1618103999999</v>
      </c>
      <c r="J25" s="35">
        <f>F25 * G25 * 8764.756</f>
        <v>175.29512</v>
      </c>
      <c r="K25" s="35">
        <f>F25 * G25 * 25054.03628</f>
        <v>501.08072559999999</v>
      </c>
      <c r="L25" s="35">
        <f>F25 * G25 * 12394.635519</f>
        <v>247.89271037999998</v>
      </c>
      <c r="M25" s="35">
        <f>F25 * G25 * 5263.453</f>
        <v>105.26906000000001</v>
      </c>
      <c r="N25" s="36">
        <f>SUM(H25:M25)</f>
        <v>2714.0447263800002</v>
      </c>
      <c r="O25" s="71">
        <f>N25*1.07*1.09*1.05</f>
        <v>3323.6598825958445</v>
      </c>
      <c r="P25" s="37">
        <f>IF($P$9&gt;0,O25/$P$9/12,0)</f>
        <v>2.2386975176445768E-2</v>
      </c>
    </row>
    <row r="26" spans="2:16" ht="28.5" x14ac:dyDescent="0.25">
      <c r="B26" s="38"/>
      <c r="C26" s="39" t="s">
        <v>61</v>
      </c>
      <c r="D26" s="41" t="s">
        <v>62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</row>
    <row r="27" spans="2:16" ht="30" x14ac:dyDescent="0.25">
      <c r="B27" s="30">
        <v>11</v>
      </c>
      <c r="C27" s="31" t="s">
        <v>63</v>
      </c>
      <c r="D27" s="32" t="s">
        <v>64</v>
      </c>
      <c r="E27" s="32" t="s">
        <v>65</v>
      </c>
      <c r="F27" s="33">
        <v>0.02</v>
      </c>
      <c r="G27" s="34">
        <v>1</v>
      </c>
      <c r="H27" s="35">
        <f>F27 * G27 * 72342.7408</f>
        <v>1446.854816</v>
      </c>
      <c r="I27" s="35">
        <f>F27 * G27 * 72274.38017</f>
        <v>1445.4876034000001</v>
      </c>
      <c r="J27" s="35">
        <f>F27 * G27 * 23732.2624</f>
        <v>474.64524799999998</v>
      </c>
      <c r="K27" s="35">
        <f>F27 * G27 * 68870.289242</f>
        <v>1377.40578484</v>
      </c>
      <c r="L27" s="35">
        <f>F27 * G27 * 24908.065624</f>
        <v>498.16131247999999</v>
      </c>
      <c r="M27" s="35">
        <f>F27 * G27 * 14468.54816</f>
        <v>289.37096320000001</v>
      </c>
      <c r="N27" s="36">
        <f>SUM(H27:M27)</f>
        <v>5531.9257279199992</v>
      </c>
      <c r="O27" s="71">
        <f t="shared" ref="O27:O28" si="6">N27*1.07*1.09*1.05</f>
        <v>6774.4792252967509</v>
      </c>
      <c r="P27" s="37">
        <f t="shared" ref="P27:P28" si="7">IF($P$9&gt;0,O27/$P$9/12,0)</f>
        <v>4.563045064996734E-2</v>
      </c>
    </row>
    <row r="28" spans="2:16" ht="30" x14ac:dyDescent="0.25">
      <c r="B28" s="30">
        <v>12</v>
      </c>
      <c r="C28" s="31" t="s">
        <v>66</v>
      </c>
      <c r="D28" s="32" t="s">
        <v>67</v>
      </c>
      <c r="E28" s="32" t="s">
        <v>65</v>
      </c>
      <c r="F28" s="33">
        <v>0.01</v>
      </c>
      <c r="G28" s="34">
        <v>1</v>
      </c>
      <c r="H28" s="35">
        <f>F28 * G28 * 108103.0729</f>
        <v>1081.0307290000001</v>
      </c>
      <c r="I28" s="35">
        <f>F28 * G28 * 130083.029176</f>
        <v>1300.8302917599999</v>
      </c>
      <c r="J28" s="35">
        <f>F28 * G28 * 35463.5512</f>
        <v>354.63551200000001</v>
      </c>
      <c r="K28" s="35">
        <f>F28 * G28 * 102914.125401</f>
        <v>1029.14125401</v>
      </c>
      <c r="L28" s="35">
        <f>F28 * G28 * 39539.196761</f>
        <v>395.39196760999999</v>
      </c>
      <c r="M28" s="35">
        <f>F28 * G28 * 21620.61458</f>
        <v>216.20614580000003</v>
      </c>
      <c r="N28" s="36">
        <f>SUM(H28:M28)</f>
        <v>4377.2359001799996</v>
      </c>
      <c r="O28" s="71">
        <f t="shared" si="6"/>
        <v>5360.4287418989306</v>
      </c>
      <c r="P28" s="37">
        <f t="shared" si="7"/>
        <v>3.6105916194491126E-2</v>
      </c>
    </row>
    <row r="29" spans="2:16" x14ac:dyDescent="0.25">
      <c r="B29" s="38"/>
      <c r="C29" s="39" t="s">
        <v>68</v>
      </c>
      <c r="D29" s="40" t="s">
        <v>69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2:16" x14ac:dyDescent="0.25">
      <c r="B30" s="30">
        <v>13</v>
      </c>
      <c r="C30" s="31" t="s">
        <v>70</v>
      </c>
      <c r="D30" s="32" t="s">
        <v>71</v>
      </c>
      <c r="E30" s="32" t="s">
        <v>72</v>
      </c>
      <c r="F30" s="33"/>
      <c r="G30" s="34">
        <v>1</v>
      </c>
      <c r="H30" s="35">
        <f>F30 * G30 * 114107.0568</f>
        <v>0</v>
      </c>
      <c r="I30" s="35">
        <f>F30 * G30 * 85210.953717</f>
        <v>0</v>
      </c>
      <c r="J30" s="35">
        <f>F30 * G30 * 0</f>
        <v>0</v>
      </c>
      <c r="K30" s="35">
        <f>F30 * G30 * 108629.918074</f>
        <v>0</v>
      </c>
      <c r="L30" s="35">
        <f>F30 * G30 * 32334.532502</f>
        <v>0</v>
      </c>
      <c r="M30" s="35">
        <f>F30 * G30 * 22821.41136</f>
        <v>0</v>
      </c>
      <c r="N30" s="36">
        <f>SUM(H30:M30)</f>
        <v>0</v>
      </c>
      <c r="O30" s="71">
        <f>N30*1.07*1.09*1.05</f>
        <v>0</v>
      </c>
      <c r="P30" s="37">
        <f>IF($P$9&gt;0,O30/$P$9/12,0)</f>
        <v>0</v>
      </c>
    </row>
    <row r="31" spans="2:16" x14ac:dyDescent="0.25">
      <c r="B31" s="38"/>
      <c r="C31" s="39" t="s">
        <v>73</v>
      </c>
      <c r="D31" s="40" t="s">
        <v>74</v>
      </c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</row>
    <row r="32" spans="2:16" x14ac:dyDescent="0.25">
      <c r="B32" s="38"/>
      <c r="C32" s="39" t="s">
        <v>75</v>
      </c>
      <c r="D32" s="41" t="s">
        <v>76</v>
      </c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</row>
    <row r="33" spans="2:16" ht="30" x14ac:dyDescent="0.25">
      <c r="B33" s="30">
        <v>14</v>
      </c>
      <c r="C33" s="31" t="s">
        <v>77</v>
      </c>
      <c r="D33" s="32" t="s">
        <v>78</v>
      </c>
      <c r="E33" s="32" t="s">
        <v>53</v>
      </c>
      <c r="F33" s="33"/>
      <c r="G33" s="34">
        <v>1</v>
      </c>
      <c r="H33" s="35">
        <f>F33 * G33 * 30827.8725</f>
        <v>0</v>
      </c>
      <c r="I33" s="35">
        <f>F33 * G33 * 10627.539883</f>
        <v>0</v>
      </c>
      <c r="J33" s="35">
        <f>F33 * G33 * 10113.18</f>
        <v>0</v>
      </c>
      <c r="K33" s="35">
        <f>F33 * G33 * 29348.13462</f>
        <v>0</v>
      </c>
      <c r="L33" s="35">
        <f>F33 * G33 * 8496.256335</f>
        <v>0</v>
      </c>
      <c r="M33" s="35">
        <f>F33 * G33 * 6165.5745</f>
        <v>0</v>
      </c>
      <c r="N33" s="36">
        <f>SUM(H33:M33)</f>
        <v>0</v>
      </c>
      <c r="O33" s="71">
        <f t="shared" ref="O33:O34" si="8">N33*1.07*1.09*1.05</f>
        <v>0</v>
      </c>
      <c r="P33" s="37">
        <f t="shared" ref="P33:P34" si="9">IF($P$9&gt;0,O33/$P$9/12,0)</f>
        <v>0</v>
      </c>
    </row>
    <row r="34" spans="2:16" ht="30" x14ac:dyDescent="0.25">
      <c r="B34" s="30">
        <v>15</v>
      </c>
      <c r="C34" s="31" t="s">
        <v>79</v>
      </c>
      <c r="D34" s="32" t="s">
        <v>80</v>
      </c>
      <c r="E34" s="32" t="s">
        <v>53</v>
      </c>
      <c r="F34" s="33">
        <v>0.02</v>
      </c>
      <c r="G34" s="34">
        <v>1</v>
      </c>
      <c r="H34" s="35">
        <f>F34 * G34 * 30827.8725</f>
        <v>616.55745000000002</v>
      </c>
      <c r="I34" s="35">
        <f>F34 * G34 * 8101.812701</f>
        <v>162.03625402</v>
      </c>
      <c r="J34" s="35">
        <f>F34 * G34 * 10113.18</f>
        <v>202.2636</v>
      </c>
      <c r="K34" s="35">
        <f>F34 * G34 * 29348.13462</f>
        <v>586.96269240000004</v>
      </c>
      <c r="L34" s="35">
        <f>F34 * G34 * 8231.054981</f>
        <v>164.62109962</v>
      </c>
      <c r="M34" s="35">
        <f>F34 * G34 * 6165.5745</f>
        <v>123.31148999999999</v>
      </c>
      <c r="N34" s="36">
        <f>SUM(H34:M34)</f>
        <v>1855.7525860400001</v>
      </c>
      <c r="O34" s="71">
        <f t="shared" si="8"/>
        <v>2272.5824531533754</v>
      </c>
      <c r="P34" s="37">
        <f t="shared" si="9"/>
        <v>1.5307296402854399E-2</v>
      </c>
    </row>
    <row r="35" spans="2:16" x14ac:dyDescent="0.25">
      <c r="B35" s="38"/>
      <c r="C35" s="39" t="s">
        <v>81</v>
      </c>
      <c r="D35" s="40" t="s">
        <v>82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</row>
    <row r="36" spans="2:16" ht="28.5" x14ac:dyDescent="0.25">
      <c r="B36" s="38"/>
      <c r="C36" s="39" t="s">
        <v>83</v>
      </c>
      <c r="D36" s="41" t="s">
        <v>84</v>
      </c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</row>
    <row r="37" spans="2:16" ht="30" x14ac:dyDescent="0.25">
      <c r="B37" s="30">
        <v>16</v>
      </c>
      <c r="C37" s="31" t="s">
        <v>85</v>
      </c>
      <c r="D37" s="32" t="s">
        <v>86</v>
      </c>
      <c r="E37" s="32" t="s">
        <v>87</v>
      </c>
      <c r="F37" s="33">
        <v>0.2</v>
      </c>
      <c r="G37" s="34">
        <v>1</v>
      </c>
      <c r="H37" s="35">
        <f>F37 * G37 * 4662.43888</f>
        <v>932.48777599999994</v>
      </c>
      <c r="I37" s="35">
        <f>F37 * G37 * 2957.723572</f>
        <v>591.54471439999998</v>
      </c>
      <c r="J37" s="35">
        <f>F37 * G37 * 1024.80224</f>
        <v>204.96044800000001</v>
      </c>
      <c r="K37" s="35">
        <f>F37 * G37 * 4438.641814</f>
        <v>887.72836280000001</v>
      </c>
      <c r="L37" s="35">
        <f>F37 * G37 * 1373.77868399999</f>
        <v>274.75573679999803</v>
      </c>
      <c r="M37" s="35">
        <f>F37 * G37 * 932.487776</f>
        <v>186.49755520000002</v>
      </c>
      <c r="N37" s="36">
        <f>SUM(H37:M37)</f>
        <v>3077.9745931999983</v>
      </c>
      <c r="O37" s="71">
        <f>N37*1.07*1.09*1.05</f>
        <v>3769.3338564516166</v>
      </c>
      <c r="P37" s="37">
        <f>IF($P$9&gt;0,O37/$P$9/12,0)</f>
        <v>2.5388874450719478E-2</v>
      </c>
    </row>
    <row r="38" spans="2:16" x14ac:dyDescent="0.25">
      <c r="B38" s="38"/>
      <c r="C38" s="39" t="s">
        <v>88</v>
      </c>
      <c r="D38" s="40" t="s">
        <v>89</v>
      </c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</row>
    <row r="39" spans="2:16" ht="28.5" x14ac:dyDescent="0.25">
      <c r="B39" s="38"/>
      <c r="C39" s="39" t="s">
        <v>90</v>
      </c>
      <c r="D39" s="41" t="s">
        <v>91</v>
      </c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2:16" ht="45" x14ac:dyDescent="0.25">
      <c r="B40" s="30">
        <v>17</v>
      </c>
      <c r="C40" s="31" t="s">
        <v>92</v>
      </c>
      <c r="D40" s="32" t="s">
        <v>93</v>
      </c>
      <c r="E40" s="32" t="s">
        <v>94</v>
      </c>
      <c r="F40" s="33">
        <v>0.1</v>
      </c>
      <c r="G40" s="34">
        <v>1</v>
      </c>
      <c r="H40" s="35">
        <f>F40 * G40 * 6055.30456</f>
        <v>605.53045599999996</v>
      </c>
      <c r="I40" s="35">
        <f>F40 * G40 * 8453.178247</f>
        <v>845.31782470000007</v>
      </c>
      <c r="J40" s="35">
        <f>F40 * G40 * 0</f>
        <v>0</v>
      </c>
      <c r="K40" s="35">
        <f>F40 * G40 * 5764.649941</f>
        <v>576.46499410000001</v>
      </c>
      <c r="L40" s="35">
        <f>F40 * G40 * 2128.678939</f>
        <v>212.86789390000001</v>
      </c>
      <c r="M40" s="35">
        <f>F40 * G40 * 1211.060912</f>
        <v>121.10609119999999</v>
      </c>
      <c r="N40" s="36">
        <f>SUM(H40:M40)</f>
        <v>2361.2872598999998</v>
      </c>
      <c r="O40" s="71">
        <f>N40*1.07*1.09*1.05</f>
        <v>2891.6677977824384</v>
      </c>
      <c r="P40" s="37">
        <f>IF($P$9&gt;0,O40/$P$9/12,0)</f>
        <v>1.9477232176032158E-2</v>
      </c>
    </row>
    <row r="41" spans="2:16" x14ac:dyDescent="0.25">
      <c r="B41" s="38"/>
      <c r="C41" s="39" t="s">
        <v>95</v>
      </c>
      <c r="D41" s="40" t="s">
        <v>96</v>
      </c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</row>
    <row r="42" spans="2:16" ht="30" x14ac:dyDescent="0.25">
      <c r="B42" s="30">
        <v>18</v>
      </c>
      <c r="C42" s="31" t="s">
        <v>97</v>
      </c>
      <c r="D42" s="32" t="s">
        <v>98</v>
      </c>
      <c r="E42" s="32" t="s">
        <v>99</v>
      </c>
      <c r="F42" s="33">
        <v>0.06</v>
      </c>
      <c r="G42" s="34">
        <v>1</v>
      </c>
      <c r="H42" s="35">
        <f>F42 * G42 * 41103.83</f>
        <v>2466.2298000000001</v>
      </c>
      <c r="I42" s="35">
        <f>F42 * G42 * 20433.603425</f>
        <v>1226.0162055000001</v>
      </c>
      <c r="J42" s="35">
        <f>F42 * G42 * 0</f>
        <v>0</v>
      </c>
      <c r="K42" s="35">
        <f>F42 * G42 * 39130.84616</f>
        <v>2347.8507696000001</v>
      </c>
      <c r="L42" s="35">
        <f>F42 * G42 * 10570.169357</f>
        <v>634.21016141999996</v>
      </c>
      <c r="M42" s="35">
        <f>F42 * G42 * 8220.766</f>
        <v>493.24595999999997</v>
      </c>
      <c r="N42" s="36">
        <f>SUM(H42:M42)</f>
        <v>7167.552896520001</v>
      </c>
      <c r="O42" s="71">
        <f t="shared" ref="O42:O46" si="10">N42*1.07*1.09*1.05</f>
        <v>8777.4927903718417</v>
      </c>
      <c r="P42" s="37">
        <f t="shared" ref="P42:P46" si="11">IF($P$9&gt;0,O42/$P$9/12,0)</f>
        <v>5.912202817094947E-2</v>
      </c>
    </row>
    <row r="43" spans="2:16" x14ac:dyDescent="0.25">
      <c r="B43" s="30">
        <v>19</v>
      </c>
      <c r="C43" s="31" t="s">
        <v>100</v>
      </c>
      <c r="D43" s="32" t="s">
        <v>101</v>
      </c>
      <c r="E43" s="32" t="s">
        <v>102</v>
      </c>
      <c r="F43" s="33">
        <v>0.2</v>
      </c>
      <c r="G43" s="34">
        <v>1</v>
      </c>
      <c r="H43" s="35">
        <f>F43 * G43 * 6167.0016</f>
        <v>1233.40032</v>
      </c>
      <c r="I43" s="35">
        <f>F43 * G43 * 120.736201</f>
        <v>24.147240199999999</v>
      </c>
      <c r="J43" s="35">
        <f>F43 * G43 * 0</f>
        <v>0</v>
      </c>
      <c r="K43" s="35">
        <f>F43 * G43 * 5870.98552299999</f>
        <v>1174.1971045999981</v>
      </c>
      <c r="L43" s="35">
        <f>F43 * G43 * 1276.665949</f>
        <v>255.33318980000001</v>
      </c>
      <c r="M43" s="35">
        <f>F43 * G43 * 1233.40032</f>
        <v>246.68006400000002</v>
      </c>
      <c r="N43" s="36">
        <f>SUM(H43:M43)</f>
        <v>2933.757918599998</v>
      </c>
      <c r="O43" s="71">
        <f t="shared" si="10"/>
        <v>3592.723953486337</v>
      </c>
      <c r="P43" s="37">
        <f t="shared" si="11"/>
        <v>2.4199293791668935E-2</v>
      </c>
    </row>
    <row r="44" spans="2:16" ht="60" x14ac:dyDescent="0.25">
      <c r="B44" s="30">
        <v>20</v>
      </c>
      <c r="C44" s="31" t="s">
        <v>103</v>
      </c>
      <c r="D44" s="32" t="s">
        <v>104</v>
      </c>
      <c r="E44" s="32" t="s">
        <v>94</v>
      </c>
      <c r="F44" s="33">
        <v>0.06</v>
      </c>
      <c r="G44" s="34">
        <v>1</v>
      </c>
      <c r="H44" s="35">
        <f>F44 * G44 * 6910.411758</f>
        <v>414.62470547999999</v>
      </c>
      <c r="I44" s="35">
        <f>F44 * G44 * 8539.427905</f>
        <v>512.36567430000002</v>
      </c>
      <c r="J44" s="35">
        <f>F44 * G44 * 0</f>
        <v>0</v>
      </c>
      <c r="K44" s="35">
        <f>F44 * G44 * 6578.711994</f>
        <v>394.72271963999998</v>
      </c>
      <c r="L44" s="35">
        <f>F44 * G44 * 2312.997924</f>
        <v>138.77987543999998</v>
      </c>
      <c r="M44" s="35">
        <f>F44 * G44 * 1382.082352</f>
        <v>82.924941119999986</v>
      </c>
      <c r="N44" s="36">
        <f>SUM(H44:M44)</f>
        <v>1543.4179159800001</v>
      </c>
      <c r="O44" s="71">
        <f t="shared" si="10"/>
        <v>1890.0927311778482</v>
      </c>
      <c r="P44" s="37">
        <f t="shared" si="11"/>
        <v>1.2730983478673942E-2</v>
      </c>
    </row>
    <row r="45" spans="2:16" ht="30" x14ac:dyDescent="0.25">
      <c r="B45" s="30">
        <v>21</v>
      </c>
      <c r="C45" s="31" t="s">
        <v>105</v>
      </c>
      <c r="D45" s="32" t="s">
        <v>106</v>
      </c>
      <c r="E45" s="32" t="s">
        <v>107</v>
      </c>
      <c r="F45" s="33">
        <v>0.28000000000000003</v>
      </c>
      <c r="G45" s="34">
        <v>1</v>
      </c>
      <c r="H45" s="35">
        <f>F45 * G45 * 4047.0948</f>
        <v>1133.1865440000001</v>
      </c>
      <c r="I45" s="35">
        <f>F45 * G45 * 120.736201</f>
        <v>33.806136280000004</v>
      </c>
      <c r="J45" s="35">
        <f>F45 * G45 * 0</f>
        <v>0</v>
      </c>
      <c r="K45" s="35">
        <f>F45 * G45 * 3852.83425</f>
        <v>1078.79359</v>
      </c>
      <c r="L45" s="35">
        <f>F45 * G45 * 842.169851</f>
        <v>235.80755828000002</v>
      </c>
      <c r="M45" s="35">
        <f>F45 * G45 * 809.41896</f>
        <v>226.6373088</v>
      </c>
      <c r="N45" s="36">
        <f>SUM(H45:M45)</f>
        <v>2708.2311373600005</v>
      </c>
      <c r="O45" s="71">
        <f t="shared" si="10"/>
        <v>3316.5404742781175</v>
      </c>
      <c r="P45" s="37">
        <f t="shared" si="11"/>
        <v>2.2339021407735998E-2</v>
      </c>
    </row>
    <row r="46" spans="2:16" ht="30" x14ac:dyDescent="0.25">
      <c r="B46" s="30">
        <v>22</v>
      </c>
      <c r="C46" s="31" t="s">
        <v>108</v>
      </c>
      <c r="D46" s="32" t="s">
        <v>109</v>
      </c>
      <c r="E46" s="32" t="s">
        <v>110</v>
      </c>
      <c r="F46" s="33">
        <v>2</v>
      </c>
      <c r="G46" s="34">
        <v>1</v>
      </c>
      <c r="H46" s="35">
        <f>F46 * G46 * 144.68181</f>
        <v>289.36362000000003</v>
      </c>
      <c r="I46" s="35">
        <f>F46 * G46 * 3091.886492</f>
        <v>6183.7729840000002</v>
      </c>
      <c r="J46" s="35">
        <f>F46 * G46 * 0.02856</f>
        <v>5.7119999999999997E-2</v>
      </c>
      <c r="K46" s="35">
        <f>F46 * G46 * 137.737084</f>
        <v>275.47416800000002</v>
      </c>
      <c r="L46" s="35">
        <f>F46 * G46 * 354.305065</f>
        <v>708.61013000000003</v>
      </c>
      <c r="M46" s="35">
        <f>F46 * G46 * 28.936362</f>
        <v>57.872723999999998</v>
      </c>
      <c r="N46" s="36">
        <f>SUM(H46:M46)</f>
        <v>7515.1507460000003</v>
      </c>
      <c r="O46" s="71">
        <f t="shared" si="10"/>
        <v>9203.1663308127918</v>
      </c>
      <c r="P46" s="37">
        <f t="shared" si="11"/>
        <v>6.1989211733570367E-2</v>
      </c>
    </row>
    <row r="47" spans="2:16" x14ac:dyDescent="0.25">
      <c r="B47" s="27"/>
      <c r="C47" s="28" t="s">
        <v>111</v>
      </c>
      <c r="D47" s="29" t="s">
        <v>112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</row>
    <row r="48" spans="2:16" x14ac:dyDescent="0.25">
      <c r="B48" s="38"/>
      <c r="C48" s="39" t="s">
        <v>113</v>
      </c>
      <c r="D48" s="40" t="s">
        <v>114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</row>
    <row r="49" spans="2:16" x14ac:dyDescent="0.25">
      <c r="B49" s="38"/>
      <c r="C49" s="39" t="s">
        <v>115</v>
      </c>
      <c r="D49" s="41" t="s">
        <v>116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</row>
    <row r="50" spans="2:16" ht="30" x14ac:dyDescent="0.25">
      <c r="B50" s="30">
        <v>23</v>
      </c>
      <c r="C50" s="31" t="s">
        <v>117</v>
      </c>
      <c r="D50" s="32" t="s">
        <v>118</v>
      </c>
      <c r="E50" s="32" t="s">
        <v>119</v>
      </c>
      <c r="F50" s="33">
        <v>0.01</v>
      </c>
      <c r="G50" s="34">
        <v>1</v>
      </c>
      <c r="H50" s="35">
        <f>F50 * G50 * 5319.03888</f>
        <v>53.190388800000001</v>
      </c>
      <c r="I50" s="35">
        <f>F50 * G50 * 6136.972387</f>
        <v>61.369723870000001</v>
      </c>
      <c r="J50" s="35">
        <f>F50 * G50 * 0</f>
        <v>0</v>
      </c>
      <c r="K50" s="35">
        <f>F50 * G50 * 5063.725014</f>
        <v>50.637250139999999</v>
      </c>
      <c r="L50" s="35">
        <f>F50 * G50 * 1734.572309</f>
        <v>17.34572309</v>
      </c>
      <c r="M50" s="35">
        <f>F50 * G50 * 1063.807776</f>
        <v>10.638077760000002</v>
      </c>
      <c r="N50" s="36">
        <f>SUM(H50:M50)</f>
        <v>193.18116365999998</v>
      </c>
      <c r="O50" s="71">
        <f>N50*1.07*1.09*1.05</f>
        <v>236.57255073549092</v>
      </c>
      <c r="P50" s="37">
        <f>IF($P$9&gt;0,O50/$P$9/12,0)</f>
        <v>1.5934674448720963E-3</v>
      </c>
    </row>
    <row r="51" spans="2:16" x14ac:dyDescent="0.25">
      <c r="B51" s="38"/>
      <c r="C51" s="39" t="s">
        <v>120</v>
      </c>
      <c r="D51" s="40" t="s">
        <v>121</v>
      </c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</row>
    <row r="52" spans="2:16" x14ac:dyDescent="0.25">
      <c r="B52" s="38"/>
      <c r="C52" s="39" t="s">
        <v>122</v>
      </c>
      <c r="D52" s="41" t="s">
        <v>123</v>
      </c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</row>
    <row r="53" spans="2:16" ht="30" x14ac:dyDescent="0.25">
      <c r="B53" s="30">
        <v>24</v>
      </c>
      <c r="C53" s="31" t="s">
        <v>124</v>
      </c>
      <c r="D53" s="32" t="s">
        <v>125</v>
      </c>
      <c r="E53" s="32" t="s">
        <v>87</v>
      </c>
      <c r="F53" s="33"/>
      <c r="G53" s="34">
        <v>1</v>
      </c>
      <c r="H53" s="35">
        <f>F53 * G53 * 2627.67769</f>
        <v>0</v>
      </c>
      <c r="I53" s="35">
        <f>F53 * G53 * 11160.394618</f>
        <v>0</v>
      </c>
      <c r="J53" s="35">
        <f>F53 * G53 * 0</f>
        <v>0</v>
      </c>
      <c r="K53" s="35">
        <f>F53 * G53 * 2501.549161</f>
        <v>0</v>
      </c>
      <c r="L53" s="35">
        <f>F53 * G53 * 1710.410254</f>
        <v>0</v>
      </c>
      <c r="M53" s="35">
        <f>F53 * G53 * 525.535538</f>
        <v>0</v>
      </c>
      <c r="N53" s="36">
        <f>SUM(H53:M53)</f>
        <v>0</v>
      </c>
      <c r="O53" s="71">
        <f>N53*1.07*1.09*1.05</f>
        <v>0</v>
      </c>
      <c r="P53" s="37">
        <f>IF($P$9&gt;0,O53/$P$9/12,0)</f>
        <v>0</v>
      </c>
    </row>
    <row r="54" spans="2:16" x14ac:dyDescent="0.25">
      <c r="B54" s="27"/>
      <c r="C54" s="28" t="s">
        <v>126</v>
      </c>
      <c r="D54" s="29" t="s">
        <v>127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2:16" x14ac:dyDescent="0.25">
      <c r="B55" s="38"/>
      <c r="C55" s="39" t="s">
        <v>128</v>
      </c>
      <c r="D55" s="40" t="s">
        <v>129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</row>
    <row r="56" spans="2:16" x14ac:dyDescent="0.25">
      <c r="B56" s="30">
        <v>25</v>
      </c>
      <c r="C56" s="31" t="s">
        <v>130</v>
      </c>
      <c r="D56" s="32" t="s">
        <v>131</v>
      </c>
      <c r="E56" s="32" t="s">
        <v>132</v>
      </c>
      <c r="F56" s="33">
        <v>0.4</v>
      </c>
      <c r="G56" s="34">
        <v>1</v>
      </c>
      <c r="H56" s="35">
        <f>F56 * G56 * 192.318475</f>
        <v>76.927390000000003</v>
      </c>
      <c r="I56" s="35">
        <f>F56 * G56 * 96.33312</f>
        <v>38.533248</v>
      </c>
      <c r="J56" s="35">
        <f>F56 * G56 * 0</f>
        <v>0</v>
      </c>
      <c r="K56" s="35">
        <f>F56 * G56 * 183.087188</f>
        <v>73.234875200000005</v>
      </c>
      <c r="L56" s="35">
        <f>F56 * G56 * 49.532572</f>
        <v>19.813028800000001</v>
      </c>
      <c r="M56" s="35">
        <f>F56 * G56 * 38.463695</f>
        <v>15.385478000000001</v>
      </c>
      <c r="N56" s="36">
        <f>SUM(H56:M56)</f>
        <v>223.89402000000001</v>
      </c>
      <c r="O56" s="71">
        <f>N56*1.07*1.09*1.05</f>
        <v>274.18397530230004</v>
      </c>
      <c r="P56" s="37">
        <f>IF($P$9&gt;0,O56/$P$9/12,0)</f>
        <v>1.846804446211203E-3</v>
      </c>
    </row>
    <row r="57" spans="2:16" x14ac:dyDescent="0.25">
      <c r="B57" s="38"/>
      <c r="C57" s="39" t="s">
        <v>133</v>
      </c>
      <c r="D57" s="40" t="s">
        <v>134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</row>
    <row r="58" spans="2:16" x14ac:dyDescent="0.25">
      <c r="B58" s="30">
        <v>26</v>
      </c>
      <c r="C58" s="31" t="s">
        <v>135</v>
      </c>
      <c r="D58" s="32" t="s">
        <v>136</v>
      </c>
      <c r="E58" s="32" t="s">
        <v>132</v>
      </c>
      <c r="F58" s="33">
        <v>0.4</v>
      </c>
      <c r="G58" s="34">
        <v>1</v>
      </c>
      <c r="H58" s="35">
        <f>F58 * G58 * 267.174895</f>
        <v>106.869958</v>
      </c>
      <c r="I58" s="35">
        <f>F58 * G58 * 5.043829</f>
        <v>2.0175315999999999</v>
      </c>
      <c r="J58" s="35">
        <f>F58 * G58 * 0</f>
        <v>0</v>
      </c>
      <c r="K58" s="35">
        <f>F58 * G58 * 254.3505</f>
        <v>101.74020000000002</v>
      </c>
      <c r="L58" s="35">
        <f>F58 * G58 * 55.289768</f>
        <v>22.115907200000002</v>
      </c>
      <c r="M58" s="35">
        <f>F58 * G58 * 53.434979</f>
        <v>21.3739916</v>
      </c>
      <c r="N58" s="36">
        <f>SUM(H58:M58)</f>
        <v>254.11758840000002</v>
      </c>
      <c r="O58" s="71">
        <f t="shared" ref="O58:O59" si="12">N58*1.07*1.09*1.05</f>
        <v>311.19621051846605</v>
      </c>
      <c r="P58" s="37">
        <f t="shared" ref="P58:P59" si="13">IF($P$9&gt;0,O58/$P$9/12,0)</f>
        <v>2.0961055240224301E-3</v>
      </c>
    </row>
    <row r="59" spans="2:16" x14ac:dyDescent="0.25">
      <c r="B59" s="30">
        <v>27</v>
      </c>
      <c r="C59" s="31" t="s">
        <v>137</v>
      </c>
      <c r="D59" s="32" t="s">
        <v>138</v>
      </c>
      <c r="E59" s="32" t="s">
        <v>132</v>
      </c>
      <c r="F59" s="33">
        <v>0.4</v>
      </c>
      <c r="G59" s="34">
        <v>1</v>
      </c>
      <c r="H59" s="35">
        <f>F59 * G59 * 143.863405</f>
        <v>57.545362000000004</v>
      </c>
      <c r="I59" s="35">
        <f>F59 * G59 * 86.290013</f>
        <v>34.516005200000002</v>
      </c>
      <c r="J59" s="35">
        <f>F59 * G59 * 0</f>
        <v>0</v>
      </c>
      <c r="K59" s="35">
        <f>F59 * G59 * 136.957961</f>
        <v>54.78318440000001</v>
      </c>
      <c r="L59" s="35">
        <f>F59 * G59 * 38.546695</f>
        <v>15.418678</v>
      </c>
      <c r="M59" s="35">
        <f>F59 * G59 * 28.772681</f>
        <v>11.509072400000001</v>
      </c>
      <c r="N59" s="36">
        <f>SUM(H59:M59)</f>
        <v>173.77230200000002</v>
      </c>
      <c r="O59" s="71">
        <f t="shared" si="12"/>
        <v>212.80416761373007</v>
      </c>
      <c r="P59" s="37">
        <f t="shared" si="13"/>
        <v>1.4333721819008653E-3</v>
      </c>
    </row>
    <row r="60" spans="2:16" x14ac:dyDescent="0.25">
      <c r="B60" s="27"/>
      <c r="C60" s="28" t="s">
        <v>139</v>
      </c>
      <c r="D60" s="29" t="s">
        <v>140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</row>
    <row r="61" spans="2:16" x14ac:dyDescent="0.25">
      <c r="B61" s="38"/>
      <c r="C61" s="39" t="s">
        <v>141</v>
      </c>
      <c r="D61" s="40" t="s">
        <v>142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</row>
    <row r="62" spans="2:16" ht="30" x14ac:dyDescent="0.25">
      <c r="B62" s="30">
        <v>28</v>
      </c>
      <c r="C62" s="31" t="s">
        <v>143</v>
      </c>
      <c r="D62" s="32" t="s">
        <v>144</v>
      </c>
      <c r="E62" s="32" t="s">
        <v>145</v>
      </c>
      <c r="F62" s="33">
        <v>0.28000000000000003</v>
      </c>
      <c r="G62" s="34">
        <v>1</v>
      </c>
      <c r="H62" s="35">
        <f>F62 * G62 * 574.941405</f>
        <v>160.98359340000002</v>
      </c>
      <c r="I62" s="35">
        <f>F62 * G62 * 74.282522</f>
        <v>20.799106160000001</v>
      </c>
      <c r="J62" s="35">
        <f>F62 * G62 * 0</f>
        <v>0</v>
      </c>
      <c r="K62" s="35">
        <f>F62 * G62 * 547.344217</f>
        <v>153.25638076000001</v>
      </c>
      <c r="L62" s="35">
        <f>F62 * G62 * 125.639654999999</f>
        <v>35.179103399999725</v>
      </c>
      <c r="M62" s="35">
        <f>F62 * G62 * 114.988281</f>
        <v>32.196718680000004</v>
      </c>
      <c r="N62" s="36">
        <f>SUM(H62:M62)</f>
        <v>402.41490239999979</v>
      </c>
      <c r="O62" s="71">
        <f t="shared" ref="O62:O63" si="14">N62*1.07*1.09*1.05</f>
        <v>492.80332570257588</v>
      </c>
      <c r="P62" s="37">
        <f t="shared" ref="P62:P63" si="15">IF($P$9&gt;0,O62/$P$9/12,0)</f>
        <v>3.3193456036653725E-3</v>
      </c>
    </row>
    <row r="63" spans="2:16" ht="30" x14ac:dyDescent="0.25">
      <c r="B63" s="30">
        <v>29</v>
      </c>
      <c r="C63" s="31" t="s">
        <v>146</v>
      </c>
      <c r="D63" s="32" t="s">
        <v>147</v>
      </c>
      <c r="E63" s="32" t="s">
        <v>148</v>
      </c>
      <c r="F63" s="33">
        <v>0.04</v>
      </c>
      <c r="G63" s="34">
        <v>1</v>
      </c>
      <c r="H63" s="35">
        <f>F63 * G63 * 6337.556666</f>
        <v>253.50226664000002</v>
      </c>
      <c r="I63" s="35">
        <f>F63 * G63 * 24465.64344</f>
        <v>978.62573759999998</v>
      </c>
      <c r="J63" s="35">
        <f>F63 * G63 * 0</f>
        <v>0</v>
      </c>
      <c r="K63" s="35">
        <f>F63 * G63 * 6033.353946</f>
        <v>241.33415784000002</v>
      </c>
      <c r="L63" s="35">
        <f>F63 * G63 * 3867.838175</f>
        <v>154.713527</v>
      </c>
      <c r="M63" s="35">
        <f>F63 * G63 * 1267.511333</f>
        <v>50.700453320000001</v>
      </c>
      <c r="N63" s="36">
        <f>SUM(H63:M63)</f>
        <v>1678.8761423999997</v>
      </c>
      <c r="O63" s="71">
        <f t="shared" si="14"/>
        <v>2055.9769071251762</v>
      </c>
      <c r="P63" s="37">
        <f t="shared" si="15"/>
        <v>1.3848319505908343E-2</v>
      </c>
    </row>
    <row r="64" spans="2:16" x14ac:dyDescent="0.25">
      <c r="B64" s="38"/>
      <c r="C64" s="39" t="s">
        <v>149</v>
      </c>
      <c r="D64" s="40" t="s">
        <v>150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</row>
    <row r="65" spans="2:16" ht="30" x14ac:dyDescent="0.25">
      <c r="B65" s="30">
        <v>30</v>
      </c>
      <c r="C65" s="31" t="s">
        <v>151</v>
      </c>
      <c r="D65" s="32" t="s">
        <v>152</v>
      </c>
      <c r="E65" s="32" t="s">
        <v>153</v>
      </c>
      <c r="F65" s="33">
        <v>0.43</v>
      </c>
      <c r="G65" s="34">
        <v>1</v>
      </c>
      <c r="H65" s="35">
        <f>F65 * G65 * 947.42154</f>
        <v>407.39126220000003</v>
      </c>
      <c r="I65" s="35">
        <f>F65 * G65 * 596.811623</f>
        <v>256.62899788999999</v>
      </c>
      <c r="J65" s="35">
        <f>F65 * G65 * 0</f>
        <v>0</v>
      </c>
      <c r="K65" s="35">
        <f>F65 * G65 * 901.945306</f>
        <v>387.83648158</v>
      </c>
      <c r="L65" s="35">
        <f>F65 * G65 * 256.848739</f>
        <v>110.44495777</v>
      </c>
      <c r="M65" s="35">
        <f>F65 * G65 * 189.484308</f>
        <v>81.478252439999991</v>
      </c>
      <c r="N65" s="36">
        <f>SUM(H65:M65)</f>
        <v>1243.77995188</v>
      </c>
      <c r="O65" s="71">
        <f>N65*1.07*1.09*1.05</f>
        <v>1523.1515857715265</v>
      </c>
      <c r="P65" s="37">
        <f>IF($P$9&gt;0,O65/$P$9/12,0)</f>
        <v>1.0259400162810692E-2</v>
      </c>
    </row>
    <row r="66" spans="2:16" x14ac:dyDescent="0.25">
      <c r="B66" s="38"/>
      <c r="C66" s="39" t="s">
        <v>154</v>
      </c>
      <c r="D66" s="40" t="s">
        <v>155</v>
      </c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</row>
    <row r="67" spans="2:16" ht="60" x14ac:dyDescent="0.25">
      <c r="B67" s="30">
        <v>31</v>
      </c>
      <c r="C67" s="31" t="s">
        <v>156</v>
      </c>
      <c r="D67" s="32" t="s">
        <v>157</v>
      </c>
      <c r="E67" s="32" t="s">
        <v>148</v>
      </c>
      <c r="F67" s="33"/>
      <c r="G67" s="34">
        <v>1</v>
      </c>
      <c r="H67" s="35">
        <f>F67 * G67 * 47980.936125</f>
        <v>0</v>
      </c>
      <c r="I67" s="35">
        <f>F67 * G67 * 7247.529432</f>
        <v>0</v>
      </c>
      <c r="J67" s="35">
        <f>F67 * G67 * 209.94316</f>
        <v>0</v>
      </c>
      <c r="K67" s="35">
        <f>F67 * G67 * 45853.241054</f>
        <v>0</v>
      </c>
      <c r="L67" s="35">
        <f>F67 * G67 * 10635.623226</f>
        <v>0</v>
      </c>
      <c r="M67" s="35">
        <f>F67 * G67 * 9633.033835</f>
        <v>0</v>
      </c>
      <c r="N67" s="36">
        <f>SUM(H67:M67)</f>
        <v>0</v>
      </c>
      <c r="O67" s="71">
        <f>N67*1.07*1.09*1.05</f>
        <v>0</v>
      </c>
      <c r="P67" s="37">
        <f>IF($P$9&gt;0,O67/$P$9/12,0)</f>
        <v>0</v>
      </c>
    </row>
    <row r="68" spans="2:16" x14ac:dyDescent="0.25">
      <c r="B68" s="27"/>
      <c r="C68" s="28" t="s">
        <v>158</v>
      </c>
      <c r="D68" s="29" t="s">
        <v>159</v>
      </c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</row>
    <row r="69" spans="2:16" x14ac:dyDescent="0.25">
      <c r="B69" s="38"/>
      <c r="C69" s="39" t="s">
        <v>160</v>
      </c>
      <c r="D69" s="40" t="s">
        <v>161</v>
      </c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</row>
    <row r="70" spans="2:16" x14ac:dyDescent="0.25">
      <c r="B70" s="38"/>
      <c r="C70" s="39" t="s">
        <v>162</v>
      </c>
      <c r="D70" s="41" t="s">
        <v>163</v>
      </c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</row>
    <row r="71" spans="2:16" ht="30" x14ac:dyDescent="0.25">
      <c r="B71" s="30">
        <v>32</v>
      </c>
      <c r="C71" s="31" t="s">
        <v>164</v>
      </c>
      <c r="D71" s="32" t="s">
        <v>165</v>
      </c>
      <c r="E71" s="32" t="s">
        <v>166</v>
      </c>
      <c r="F71" s="33">
        <v>0.05</v>
      </c>
      <c r="G71" s="34">
        <v>1</v>
      </c>
      <c r="H71" s="35">
        <f>F71 * G71 * 4307.26518</f>
        <v>215.36325900000003</v>
      </c>
      <c r="I71" s="35">
        <f>F71 * G71 * 40964.189954</f>
        <v>2048.2094977000002</v>
      </c>
      <c r="J71" s="35">
        <f>F71 * G71 * 118.48095</f>
        <v>5.9240475000000004</v>
      </c>
      <c r="K71" s="35">
        <f>F71 * G71 * 4139.782838</f>
        <v>206.98914190000002</v>
      </c>
      <c r="L71" s="35">
        <f>F71 * G71 * 5200.62048699999</f>
        <v>260.03102434999954</v>
      </c>
      <c r="M71" s="35">
        <f>F71 * G71 * 869.702277</f>
        <v>43.485113850000005</v>
      </c>
      <c r="N71" s="36">
        <f>SUM(H71:M71)</f>
        <v>2780.0020842999998</v>
      </c>
      <c r="O71" s="71">
        <f>N71*1.07*1.09*1.05</f>
        <v>3404.4322524650447</v>
      </c>
      <c r="P71" s="37">
        <f>IF($P$9&gt;0,O71/$P$9/12,0)</f>
        <v>2.2931028750842256E-2</v>
      </c>
    </row>
    <row r="72" spans="2:16" x14ac:dyDescent="0.25">
      <c r="B72" s="38"/>
      <c r="C72" s="39" t="s">
        <v>167</v>
      </c>
      <c r="D72" s="40" t="s">
        <v>168</v>
      </c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</row>
    <row r="73" spans="2:16" x14ac:dyDescent="0.25">
      <c r="B73" s="38"/>
      <c r="C73" s="39" t="s">
        <v>169</v>
      </c>
      <c r="D73" s="41" t="s">
        <v>170</v>
      </c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</row>
    <row r="74" spans="2:16" ht="30" x14ac:dyDescent="0.25">
      <c r="B74" s="30">
        <v>33</v>
      </c>
      <c r="C74" s="31" t="s">
        <v>171</v>
      </c>
      <c r="D74" s="32" t="s">
        <v>172</v>
      </c>
      <c r="E74" s="32" t="s">
        <v>173</v>
      </c>
      <c r="F74" s="33">
        <v>0.05</v>
      </c>
      <c r="G74" s="34">
        <v>1</v>
      </c>
      <c r="H74" s="35">
        <f>F74 * G74 * 8294.617152</f>
        <v>414.73085760000004</v>
      </c>
      <c r="I74" s="35">
        <f>F74 * G74 * 79662.689878</f>
        <v>3983.1344939000005</v>
      </c>
      <c r="J74" s="35">
        <f>F74 * G74 * 226.60841</f>
        <v>11.330420500000001</v>
      </c>
      <c r="K74" s="35">
        <f>F74 * G74 * 7967.155026</f>
        <v>398.35775130000002</v>
      </c>
      <c r="L74" s="35">
        <f>F74 * G74 * 10095.862399</f>
        <v>504.79311995</v>
      </c>
      <c r="M74" s="35">
        <f>F74 * G74 * 1673.772064</f>
        <v>83.688603200000003</v>
      </c>
      <c r="N74" s="36">
        <f>SUM(H74:M74)</f>
        <v>5396.0352464500011</v>
      </c>
      <c r="O74" s="71">
        <f t="shared" ref="O74:O75" si="16">N74*1.07*1.09*1.05</f>
        <v>6608.0657033313691</v>
      </c>
      <c r="P74" s="37">
        <f t="shared" ref="P74:P75" si="17">IF($P$9&gt;0,O74/$P$9/12,0)</f>
        <v>4.4509549138722987E-2</v>
      </c>
    </row>
    <row r="75" spans="2:16" ht="30" x14ac:dyDescent="0.25">
      <c r="B75" s="30">
        <v>34</v>
      </c>
      <c r="C75" s="31" t="s">
        <v>174</v>
      </c>
      <c r="D75" s="32" t="s">
        <v>175</v>
      </c>
      <c r="E75" s="32" t="s">
        <v>176</v>
      </c>
      <c r="F75" s="33">
        <v>0.05</v>
      </c>
      <c r="G75" s="34">
        <v>1</v>
      </c>
      <c r="H75" s="35">
        <f>F75 * G75 * 23223.66395</f>
        <v>1161.1831975</v>
      </c>
      <c r="I75" s="35">
        <f>F75 * G75 * 32635.008571</f>
        <v>1631.7504285499999</v>
      </c>
      <c r="J75" s="35">
        <f>F75 * G75 * 0</f>
        <v>0</v>
      </c>
      <c r="K75" s="35">
        <f>F75 * G75 * 22108.928081</f>
        <v>1105.44640405</v>
      </c>
      <c r="L75" s="35">
        <f>F75 * G75 * 8186.59806299999</f>
        <v>409.32990314999955</v>
      </c>
      <c r="M75" s="35">
        <f>F75 * G75 * 4644.73279</f>
        <v>232.23663950000002</v>
      </c>
      <c r="N75" s="36">
        <f>SUM(H75:M75)</f>
        <v>4539.9465727499992</v>
      </c>
      <c r="O75" s="71">
        <f t="shared" si="16"/>
        <v>5559.6866721882407</v>
      </c>
      <c r="P75" s="37">
        <f t="shared" si="17"/>
        <v>3.7448045803617311E-2</v>
      </c>
    </row>
    <row r="76" spans="2:16" x14ac:dyDescent="0.25">
      <c r="B76" s="38"/>
      <c r="C76" s="39" t="s">
        <v>177</v>
      </c>
      <c r="D76" s="40" t="s">
        <v>178</v>
      </c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</row>
    <row r="77" spans="2:16" x14ac:dyDescent="0.25">
      <c r="B77" s="30">
        <v>35</v>
      </c>
      <c r="C77" s="31" t="s">
        <v>179</v>
      </c>
      <c r="D77" s="32" t="s">
        <v>180</v>
      </c>
      <c r="E77" s="32" t="s">
        <v>181</v>
      </c>
      <c r="F77" s="33">
        <v>0.5</v>
      </c>
      <c r="G77" s="34">
        <v>1</v>
      </c>
      <c r="H77" s="35">
        <f>F77 * G77 * 870.49415</f>
        <v>435.247075</v>
      </c>
      <c r="I77" s="35">
        <f>F77 * G77 * 2886.96601</f>
        <v>1443.483005</v>
      </c>
      <c r="J77" s="35">
        <f>F77 * G77 * 0</f>
        <v>0</v>
      </c>
      <c r="K77" s="35">
        <f>F77 * G77 * 828.710431</f>
        <v>414.35521549999999</v>
      </c>
      <c r="L77" s="35">
        <f>F77 * G77 * 481.547912</f>
        <v>240.773956</v>
      </c>
      <c r="M77" s="35">
        <f>F77 * G77 * 174.09883</f>
        <v>87.049414999999996</v>
      </c>
      <c r="N77" s="36">
        <f>SUM(H77:M77)</f>
        <v>2620.9086665</v>
      </c>
      <c r="O77" s="71">
        <f t="shared" ref="O77:O79" si="18">N77*1.07*1.09*1.05</f>
        <v>3209.6040666258982</v>
      </c>
      <c r="P77" s="37">
        <f t="shared" ref="P77:P79" si="19">IF($P$9&gt;0,O77/$P$9/12,0)</f>
        <v>2.1618736303924843E-2</v>
      </c>
    </row>
    <row r="78" spans="2:16" ht="30" x14ac:dyDescent="0.25">
      <c r="B78" s="30">
        <v>36</v>
      </c>
      <c r="C78" s="31" t="s">
        <v>182</v>
      </c>
      <c r="D78" s="32" t="s">
        <v>183</v>
      </c>
      <c r="E78" s="32" t="s">
        <v>53</v>
      </c>
      <c r="F78" s="33">
        <v>2.5000000000000001E-2</v>
      </c>
      <c r="G78" s="34">
        <v>1</v>
      </c>
      <c r="H78" s="35">
        <f>F78 * G78 * 30827.8725</f>
        <v>770.69681250000008</v>
      </c>
      <c r="I78" s="35">
        <f>F78 * G78 * 10627.539883</f>
        <v>265.68849707499999</v>
      </c>
      <c r="J78" s="35">
        <f>F78 * G78 * 0</f>
        <v>0</v>
      </c>
      <c r="K78" s="35">
        <f>F78 * G78 * 29348.13462</f>
        <v>733.70336550000002</v>
      </c>
      <c r="L78" s="35">
        <f>F78 * G78 * 7434.372435</f>
        <v>185.85931087500001</v>
      </c>
      <c r="M78" s="35">
        <f>F78 * G78 * 6165.5745</f>
        <v>154.1393625</v>
      </c>
      <c r="N78" s="36">
        <f>SUM(H78:M78)</f>
        <v>2110.0873484500003</v>
      </c>
      <c r="O78" s="71">
        <f t="shared" si="18"/>
        <v>2584.0446182220976</v>
      </c>
      <c r="P78" s="37">
        <f t="shared" si="19"/>
        <v>1.740519330088168E-2</v>
      </c>
    </row>
    <row r="79" spans="2:16" ht="30" x14ac:dyDescent="0.25">
      <c r="B79" s="30">
        <v>37</v>
      </c>
      <c r="C79" s="31" t="s">
        <v>184</v>
      </c>
      <c r="D79" s="32" t="s">
        <v>185</v>
      </c>
      <c r="E79" s="32" t="s">
        <v>53</v>
      </c>
      <c r="F79" s="33">
        <v>2.5000000000000001E-2</v>
      </c>
      <c r="G79" s="34">
        <v>1</v>
      </c>
      <c r="H79" s="35">
        <f>F79 * G79 * 7177.70196</f>
        <v>179.44254900000001</v>
      </c>
      <c r="I79" s="35">
        <f>F79 * G79 * 2957.723572</f>
        <v>73.943089299999997</v>
      </c>
      <c r="J79" s="35">
        <f>F79 * G79 * 0</f>
        <v>0</v>
      </c>
      <c r="K79" s="35">
        <f>F79 * G79 * 6833.172266</f>
        <v>170.82930665000001</v>
      </c>
      <c r="L79" s="35">
        <f>F79 * G79 * 1781.702769</f>
        <v>44.542569225000001</v>
      </c>
      <c r="M79" s="35">
        <f>F79 * G79 * 1435.540392</f>
        <v>35.888509800000001</v>
      </c>
      <c r="N79" s="36">
        <f>SUM(H79:M79)</f>
        <v>504.64602397500005</v>
      </c>
      <c r="O79" s="71">
        <f t="shared" si="18"/>
        <v>617.99709065014486</v>
      </c>
      <c r="P79" s="37">
        <f t="shared" si="19"/>
        <v>4.1626056865647215E-3</v>
      </c>
    </row>
    <row r="80" spans="2:16" x14ac:dyDescent="0.25">
      <c r="B80" s="38"/>
      <c r="C80" s="39" t="s">
        <v>186</v>
      </c>
      <c r="D80" s="40" t="s">
        <v>187</v>
      </c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</row>
    <row r="81" spans="2:16" x14ac:dyDescent="0.25">
      <c r="B81" s="30">
        <v>38</v>
      </c>
      <c r="C81" s="31" t="s">
        <v>188</v>
      </c>
      <c r="D81" s="32" t="s">
        <v>189</v>
      </c>
      <c r="E81" s="32" t="s">
        <v>190</v>
      </c>
      <c r="F81" s="33">
        <v>0.04</v>
      </c>
      <c r="G81" s="34">
        <v>1</v>
      </c>
      <c r="H81" s="35">
        <f>F81 * G81 * 28955.434086</f>
        <v>1158.2173634400001</v>
      </c>
      <c r="I81" s="35">
        <f>F81 * G81 * 6866.87143</f>
        <v>274.67485720000002</v>
      </c>
      <c r="J81" s="35">
        <f>F81 * G81 * 6.2216</f>
        <v>0.248864</v>
      </c>
      <c r="K81" s="35">
        <f>F81 * G81 * 27565.57325</f>
        <v>1102.62293</v>
      </c>
      <c r="L81" s="35">
        <f>F81 * G81 * 6656.380539</f>
        <v>266.25522156</v>
      </c>
      <c r="M81" s="35">
        <f>F81 * G81 * 5791.086817</f>
        <v>231.64347268000003</v>
      </c>
      <c r="N81" s="36">
        <f>SUM(H81:M81)</f>
        <v>3033.6627088799996</v>
      </c>
      <c r="O81" s="71">
        <f>N81*1.07*1.09*1.05</f>
        <v>3715.0688582350813</v>
      </c>
      <c r="P81" s="37">
        <f>IF($P$9&gt;0,O81/$P$9/12,0)</f>
        <v>2.5023364978951673E-2</v>
      </c>
    </row>
    <row r="82" spans="2:16" x14ac:dyDescent="0.25">
      <c r="B82" s="38"/>
      <c r="C82" s="39" t="s">
        <v>191</v>
      </c>
      <c r="D82" s="40" t="s">
        <v>192</v>
      </c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</row>
    <row r="83" spans="2:16" x14ac:dyDescent="0.25">
      <c r="B83" s="30">
        <v>39</v>
      </c>
      <c r="C83" s="31" t="s">
        <v>193</v>
      </c>
      <c r="D83" s="32" t="s">
        <v>194</v>
      </c>
      <c r="E83" s="32" t="s">
        <v>195</v>
      </c>
      <c r="F83" s="33">
        <v>0.02</v>
      </c>
      <c r="G83" s="34">
        <v>1</v>
      </c>
      <c r="H83" s="35">
        <f>F83 * G83 * 8479.6272</f>
        <v>169.59254400000003</v>
      </c>
      <c r="I83" s="35">
        <f>F83 * G83 * 4799.533824</f>
        <v>95.990676480000005</v>
      </c>
      <c r="J83" s="35">
        <f>F83 * G83 * 0</f>
        <v>0</v>
      </c>
      <c r="K83" s="35">
        <f>F83 * G83 * 8072.605094</f>
        <v>161.45210187999999</v>
      </c>
      <c r="L83" s="35">
        <f>F83 * G83 * 2241.935443</f>
        <v>44.838708859999997</v>
      </c>
      <c r="M83" s="35">
        <f>F83 * G83 * 1695.92544</f>
        <v>33.918508799999998</v>
      </c>
      <c r="N83" s="36">
        <f>SUM(H83:M83)</f>
        <v>505.79254001999999</v>
      </c>
      <c r="O83" s="71">
        <f t="shared" ref="O83:O84" si="20">N83*1.07*1.09*1.05</f>
        <v>619.4011313965924</v>
      </c>
      <c r="P83" s="37">
        <f t="shared" ref="P83:P84" si="21">IF($P$9&gt;0,O83/$P$9/12,0)</f>
        <v>4.1720627990394464E-3</v>
      </c>
    </row>
    <row r="84" spans="2:16" ht="30" x14ac:dyDescent="0.25">
      <c r="B84" s="30">
        <v>40</v>
      </c>
      <c r="C84" s="31" t="s">
        <v>196</v>
      </c>
      <c r="D84" s="32" t="s">
        <v>52</v>
      </c>
      <c r="E84" s="32" t="s">
        <v>53</v>
      </c>
      <c r="F84" s="33">
        <v>0.02</v>
      </c>
      <c r="G84" s="34">
        <v>1</v>
      </c>
      <c r="H84" s="35">
        <f>F84 * G84 * 43159.0215</f>
        <v>863.18043000000011</v>
      </c>
      <c r="I84" s="35">
        <f>F84 * G84 * 59681.1623039999</f>
        <v>1193.6232460799981</v>
      </c>
      <c r="J84" s="35">
        <f>F84 * G84 * 0</f>
        <v>0</v>
      </c>
      <c r="K84" s="35">
        <f>F84 * G84 * 41087.388468</f>
        <v>821.74776936000001</v>
      </c>
      <c r="L84" s="35">
        <f>F84 * G84 * 15112.395088</f>
        <v>302.24790175999999</v>
      </c>
      <c r="M84" s="35">
        <f>F84 * G84 * 8631.8043</f>
        <v>172.63608600000001</v>
      </c>
      <c r="N84" s="36">
        <f>SUM(H84:M84)</f>
        <v>3353.435433199998</v>
      </c>
      <c r="O84" s="71">
        <f t="shared" si="20"/>
        <v>4106.6673330282165</v>
      </c>
      <c r="P84" s="37">
        <f t="shared" si="21"/>
        <v>2.7661031179465837E-2</v>
      </c>
    </row>
    <row r="85" spans="2:16" x14ac:dyDescent="0.25">
      <c r="B85" s="38"/>
      <c r="C85" s="39" t="s">
        <v>197</v>
      </c>
      <c r="D85" s="40" t="s">
        <v>198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</row>
    <row r="86" spans="2:16" ht="30" x14ac:dyDescent="0.25">
      <c r="B86" s="30">
        <v>41</v>
      </c>
      <c r="C86" s="31" t="s">
        <v>199</v>
      </c>
      <c r="D86" s="32" t="s">
        <v>200</v>
      </c>
      <c r="E86" s="32" t="s">
        <v>201</v>
      </c>
      <c r="F86" s="33">
        <v>7.0000000000000007E-2</v>
      </c>
      <c r="G86" s="34">
        <v>1</v>
      </c>
      <c r="H86" s="35">
        <f>F86 * G86 * 15802.9416</f>
        <v>1106.2059120000001</v>
      </c>
      <c r="I86" s="35">
        <f>F86 * G86 * 47637.450361</f>
        <v>3334.6215252700003</v>
      </c>
      <c r="J86" s="35">
        <f>F86 * G86 * 0</f>
        <v>0</v>
      </c>
      <c r="K86" s="35">
        <f>F86 * G86 * 15044.400403</f>
        <v>1053.1080282100002</v>
      </c>
      <c r="L86" s="35">
        <f>F86 * G86 * 8240.903198</f>
        <v>576.86322386000006</v>
      </c>
      <c r="M86" s="35">
        <f>F86 * G86 * 3160.58832</f>
        <v>221.24118240000001</v>
      </c>
      <c r="N86" s="36">
        <f>SUM(H86:M86)</f>
        <v>6292.0398717400012</v>
      </c>
      <c r="O86" s="71">
        <f t="shared" ref="O86:O87" si="22">N86*1.07*1.09*1.05</f>
        <v>7705.3264075308825</v>
      </c>
      <c r="P86" s="37">
        <f t="shared" ref="P86:P87" si="23">IF($P$9&gt;0,O86/$P$9/12,0)</f>
        <v>5.1900301807380124E-2</v>
      </c>
    </row>
    <row r="87" spans="2:16" ht="30" x14ac:dyDescent="0.25">
      <c r="B87" s="30">
        <v>42</v>
      </c>
      <c r="C87" s="31" t="s">
        <v>202</v>
      </c>
      <c r="D87" s="32" t="s">
        <v>203</v>
      </c>
      <c r="E87" s="32" t="s">
        <v>204</v>
      </c>
      <c r="F87" s="33">
        <v>7.4999999999999997E-2</v>
      </c>
      <c r="G87" s="34">
        <v>0.2</v>
      </c>
      <c r="H87" s="35">
        <f>F87 * G87 * 22740.8184</f>
        <v>341.11227600000001</v>
      </c>
      <c r="I87" s="35">
        <f>F87 * G87 * 53191.079831</f>
        <v>797.86619746500003</v>
      </c>
      <c r="J87" s="35">
        <f>F87 * G87 * 0</f>
        <v>0</v>
      </c>
      <c r="K87" s="35">
        <f>F87 * G87 * 21649.259117</f>
        <v>324.73888675500001</v>
      </c>
      <c r="L87" s="35">
        <f>F87 * G87 * 10246.021522</f>
        <v>153.69032282999999</v>
      </c>
      <c r="M87" s="35">
        <f>F87 * G87 * 4548.16368</f>
        <v>68.222455199999999</v>
      </c>
      <c r="N87" s="36">
        <f>SUM(H87:M87)</f>
        <v>1685.6301382500001</v>
      </c>
      <c r="O87" s="71">
        <f t="shared" si="22"/>
        <v>2064.2479517530242</v>
      </c>
      <c r="P87" s="37">
        <f t="shared" si="23"/>
        <v>1.3904030281772175E-2</v>
      </c>
    </row>
    <row r="88" spans="2:16" x14ac:dyDescent="0.25">
      <c r="B88" s="38"/>
      <c r="C88" s="39" t="s">
        <v>205</v>
      </c>
      <c r="D88" s="40" t="s">
        <v>206</v>
      </c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</row>
    <row r="89" spans="2:16" ht="30" x14ac:dyDescent="0.25">
      <c r="B89" s="30">
        <v>43</v>
      </c>
      <c r="C89" s="31" t="s">
        <v>207</v>
      </c>
      <c r="D89" s="32" t="s">
        <v>208</v>
      </c>
      <c r="E89" s="32" t="s">
        <v>201</v>
      </c>
      <c r="F89" s="33">
        <v>0.02</v>
      </c>
      <c r="G89" s="34">
        <v>1</v>
      </c>
      <c r="H89" s="35">
        <f>F89 * G89 * 12719.4408</f>
        <v>254.38881600000002</v>
      </c>
      <c r="I89" s="35">
        <f>F89 * G89 * 44825.887243</f>
        <v>896.51774485999999</v>
      </c>
      <c r="J89" s="35">
        <f>F89 * G89 * 0</f>
        <v>0</v>
      </c>
      <c r="K89" s="35">
        <f>F89 * G89 * 12108.907642</f>
        <v>242.17815284</v>
      </c>
      <c r="L89" s="35">
        <f>F89 * G89 * 7313.694746</f>
        <v>146.27389492</v>
      </c>
      <c r="M89" s="35">
        <f>F89 * G89 * 2543.88816</f>
        <v>50.877763200000004</v>
      </c>
      <c r="N89" s="36">
        <f>SUM(H89:M89)</f>
        <v>1590.2363718199999</v>
      </c>
      <c r="O89" s="71">
        <f t="shared" ref="O89:O90" si="24">N89*1.07*1.09*1.05</f>
        <v>1947.4273144763497</v>
      </c>
      <c r="P89" s="37">
        <f t="shared" ref="P89:P90" si="25">IF($P$9&gt;0,O89/$P$9/12,0)</f>
        <v>1.3117168569325557E-2</v>
      </c>
    </row>
    <row r="90" spans="2:16" ht="30" x14ac:dyDescent="0.25">
      <c r="B90" s="30">
        <v>44</v>
      </c>
      <c r="C90" s="31" t="s">
        <v>209</v>
      </c>
      <c r="D90" s="32" t="s">
        <v>210</v>
      </c>
      <c r="E90" s="32" t="s">
        <v>211</v>
      </c>
      <c r="F90" s="33">
        <v>0.02</v>
      </c>
      <c r="G90" s="34">
        <v>1</v>
      </c>
      <c r="H90" s="35">
        <f>F90 * G90 * 41819.9796</f>
        <v>836.39959199999998</v>
      </c>
      <c r="I90" s="35">
        <f>F90 * G90 * 33790.864713</f>
        <v>675.81729426000004</v>
      </c>
      <c r="J90" s="35">
        <f>F90 * G90 * 0</f>
        <v>0</v>
      </c>
      <c r="K90" s="35">
        <f>F90 * G90 * 39812.620579</f>
        <v>796.25241158000006</v>
      </c>
      <c r="L90" s="35">
        <f>F90 * G90 * 12119.463813</f>
        <v>242.38927626</v>
      </c>
      <c r="M90" s="35">
        <f>F90 * G90 * 8363.99592</f>
        <v>167.27991839999999</v>
      </c>
      <c r="N90" s="36">
        <f>SUM(H90:M90)</f>
        <v>2718.1384925000002</v>
      </c>
      <c r="O90" s="71">
        <f t="shared" si="24"/>
        <v>3328.6731699928878</v>
      </c>
      <c r="P90" s="37">
        <f t="shared" si="25"/>
        <v>2.2420742873645382E-2</v>
      </c>
    </row>
    <row r="91" spans="2:16" x14ac:dyDescent="0.25">
      <c r="B91" s="38"/>
      <c r="C91" s="39" t="s">
        <v>212</v>
      </c>
      <c r="D91" s="40" t="s">
        <v>213</v>
      </c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</row>
    <row r="92" spans="2:16" x14ac:dyDescent="0.25">
      <c r="B92" s="30">
        <v>45</v>
      </c>
      <c r="C92" s="31" t="s">
        <v>214</v>
      </c>
      <c r="D92" s="32" t="s">
        <v>215</v>
      </c>
      <c r="E92" s="32" t="s">
        <v>195</v>
      </c>
      <c r="F92" s="33">
        <v>0.21</v>
      </c>
      <c r="G92" s="34">
        <v>0.2</v>
      </c>
      <c r="H92" s="35">
        <f>F92 * G92 * 10214.0964</f>
        <v>428.99204880000002</v>
      </c>
      <c r="I92" s="35">
        <f>F92 * G92 * 4834.205154</f>
        <v>203.03661646800003</v>
      </c>
      <c r="J92" s="35">
        <f>F92 * G92 * 0</f>
        <v>0</v>
      </c>
      <c r="K92" s="35">
        <f>F92 * G92 * 9723.819773</f>
        <v>408.40043046599999</v>
      </c>
      <c r="L92" s="35">
        <f>F92 * G92 * 2601.07274</f>
        <v>109.24505508000001</v>
      </c>
      <c r="M92" s="35">
        <f>F92 * G92 * 2042.81928</f>
        <v>85.798409759999998</v>
      </c>
      <c r="N92" s="36">
        <f>SUM(H92:M92)</f>
        <v>1235.4725605739998</v>
      </c>
      <c r="O92" s="71">
        <f t="shared" ref="O92:O94" si="26">N92*1.07*1.09*1.05</f>
        <v>1512.9782297673289</v>
      </c>
      <c r="P92" s="37">
        <f t="shared" ref="P92:P94" si="27">IF($P$9&gt;0,O92/$P$9/12,0)</f>
        <v>1.0190876103077709E-2</v>
      </c>
    </row>
    <row r="93" spans="2:16" x14ac:dyDescent="0.25">
      <c r="B93" s="30">
        <v>46</v>
      </c>
      <c r="C93" s="31" t="s">
        <v>216</v>
      </c>
      <c r="D93" s="32" t="s">
        <v>217</v>
      </c>
      <c r="E93" s="32" t="s">
        <v>218</v>
      </c>
      <c r="F93" s="33">
        <v>0.21</v>
      </c>
      <c r="G93" s="34">
        <v>0.2</v>
      </c>
      <c r="H93" s="35">
        <f>F93 * G93 * 10122.025</f>
        <v>425.12504999999999</v>
      </c>
      <c r="I93" s="35">
        <f>F93 * G93 * 8942.2848</f>
        <v>375.57596160000003</v>
      </c>
      <c r="J93" s="35">
        <f>F93 * G93 * 0</f>
        <v>0</v>
      </c>
      <c r="K93" s="35">
        <f>F93 * G93 * 9636.1678</f>
        <v>404.71904760000001</v>
      </c>
      <c r="L93" s="35">
        <f>F93 * G93 * 3013.550148</f>
        <v>126.56910621599999</v>
      </c>
      <c r="M93" s="35">
        <f>F93 * G93 * 2024.405</f>
        <v>85.025010000000009</v>
      </c>
      <c r="N93" s="36">
        <f>SUM(H93:M93)</f>
        <v>1417.0141754159999</v>
      </c>
      <c r="O93" s="71">
        <f t="shared" si="26"/>
        <v>1735.2968144270651</v>
      </c>
      <c r="P93" s="37">
        <f t="shared" si="27"/>
        <v>1.1688333969360013E-2</v>
      </c>
    </row>
    <row r="94" spans="2:16" x14ac:dyDescent="0.25">
      <c r="B94" s="30">
        <v>47</v>
      </c>
      <c r="C94" s="31" t="s">
        <v>219</v>
      </c>
      <c r="D94" s="32" t="s">
        <v>220</v>
      </c>
      <c r="E94" s="32" t="s">
        <v>221</v>
      </c>
      <c r="F94" s="33">
        <v>0.21</v>
      </c>
      <c r="G94" s="34">
        <v>0.2</v>
      </c>
      <c r="H94" s="35">
        <f>F94 * G94 * 10984.9716</f>
        <v>461.36880720000005</v>
      </c>
      <c r="I94" s="35">
        <f>F94 * G94 * 11366.870669</f>
        <v>477.40856809800005</v>
      </c>
      <c r="J94" s="35">
        <f>F94 * G94 * 0</f>
        <v>0</v>
      </c>
      <c r="K94" s="35">
        <f>F94 * G94 * 10457.692963</f>
        <v>439.22310444599998</v>
      </c>
      <c r="L94" s="35">
        <f>F94 * G94 * 3445.001199</f>
        <v>144.69005035800001</v>
      </c>
      <c r="M94" s="35">
        <f>F94 * G94 * 2196.99432</f>
        <v>92.273761440000001</v>
      </c>
      <c r="N94" s="36">
        <f>SUM(H94:M94)</f>
        <v>1614.9642915420002</v>
      </c>
      <c r="O94" s="71">
        <f t="shared" si="26"/>
        <v>1977.7094958867069</v>
      </c>
      <c r="P94" s="37">
        <f t="shared" si="27"/>
        <v>1.3321138430102292E-2</v>
      </c>
    </row>
    <row r="95" spans="2:16" x14ac:dyDescent="0.25">
      <c r="B95" s="38"/>
      <c r="C95" s="39" t="s">
        <v>222</v>
      </c>
      <c r="D95" s="40" t="s">
        <v>223</v>
      </c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</row>
    <row r="96" spans="2:16" ht="45" x14ac:dyDescent="0.25">
      <c r="B96" s="30">
        <v>48</v>
      </c>
      <c r="C96" s="31" t="s">
        <v>224</v>
      </c>
      <c r="D96" s="32" t="s">
        <v>225</v>
      </c>
      <c r="E96" s="32" t="s">
        <v>226</v>
      </c>
      <c r="F96" s="33">
        <v>0.11</v>
      </c>
      <c r="G96" s="34">
        <v>0.2</v>
      </c>
      <c r="H96" s="35">
        <f>F96 * G96 * 7948.598332</f>
        <v>174.86916330400001</v>
      </c>
      <c r="I96" s="35">
        <f>F96 * G96 * 17467.456208</f>
        <v>384.28403657600001</v>
      </c>
      <c r="J96" s="35">
        <f>F96 * G96 * 590.3821</f>
        <v>12.988406200000002</v>
      </c>
      <c r="K96" s="35">
        <f>F96 * G96 * 7734.62394799999</f>
        <v>170.1617268559998</v>
      </c>
      <c r="L96" s="35">
        <f>F96 * G96 * 3542.811362</f>
        <v>77.941849963999999</v>
      </c>
      <c r="M96" s="35">
        <f>F96 * G96 * 1624.920997</f>
        <v>35.748261934000006</v>
      </c>
      <c r="N96" s="36">
        <f>SUM(H96:M96)</f>
        <v>855.99344483399977</v>
      </c>
      <c r="O96" s="71">
        <f>N96*1.07*1.09*1.05</f>
        <v>1048.2624124453889</v>
      </c>
      <c r="P96" s="37">
        <f>IF($P$9&gt;0,O96/$P$9/12,0)</f>
        <v>7.0607178335851716E-3</v>
      </c>
    </row>
    <row r="97" spans="2:16" x14ac:dyDescent="0.25">
      <c r="B97" s="27"/>
      <c r="C97" s="28" t="s">
        <v>227</v>
      </c>
      <c r="D97" s="29" t="s">
        <v>228</v>
      </c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</row>
    <row r="98" spans="2:16" x14ac:dyDescent="0.25">
      <c r="B98" s="38"/>
      <c r="C98" s="39" t="s">
        <v>229</v>
      </c>
      <c r="D98" s="40" t="s">
        <v>230</v>
      </c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</row>
    <row r="99" spans="2:16" x14ac:dyDescent="0.25">
      <c r="B99" s="30">
        <v>49</v>
      </c>
      <c r="C99" s="31" t="s">
        <v>231</v>
      </c>
      <c r="D99" s="32" t="s">
        <v>232</v>
      </c>
      <c r="E99" s="32" t="s">
        <v>233</v>
      </c>
      <c r="F99" s="33">
        <v>0.1</v>
      </c>
      <c r="G99" s="34">
        <v>0.5</v>
      </c>
      <c r="H99" s="35">
        <f>F99 * G99 * 13756.16262</f>
        <v>687.808131</v>
      </c>
      <c r="I99" s="35">
        <f>F99 * G99 * 15070.617201</f>
        <v>753.53086005</v>
      </c>
      <c r="J99" s="35">
        <f t="shared" ref="J99:J106" si="28">F99 * G99 * 0</f>
        <v>0</v>
      </c>
      <c r="K99" s="35">
        <f>F99 * G99 * 13095.866814</f>
        <v>654.79334070000004</v>
      </c>
      <c r="L99" s="35">
        <f>F99 * G99 * 4401.877897</f>
        <v>220.09389485000003</v>
      </c>
      <c r="M99" s="35">
        <f>F99 * G99 * 2751.232524</f>
        <v>137.56162620000001</v>
      </c>
      <c r="N99" s="36">
        <f t="shared" ref="N99:N106" si="29">SUM(H99:M99)</f>
        <v>2453.7878528000001</v>
      </c>
      <c r="O99" s="71">
        <f t="shared" ref="O99:O106" si="30">N99*1.07*1.09*1.05</f>
        <v>3004.9454113566726</v>
      </c>
      <c r="P99" s="37">
        <f t="shared" ref="P99:P106" si="31">IF($P$9&gt;0,O99/$P$9/12,0)</f>
        <v>2.0240229357666995E-2</v>
      </c>
    </row>
    <row r="100" spans="2:16" ht="30" x14ac:dyDescent="0.25">
      <c r="B100" s="30">
        <v>50</v>
      </c>
      <c r="C100" s="31" t="s">
        <v>234</v>
      </c>
      <c r="D100" s="32" t="s">
        <v>235</v>
      </c>
      <c r="E100" s="32" t="s">
        <v>236</v>
      </c>
      <c r="F100" s="33">
        <v>0.2</v>
      </c>
      <c r="G100" s="34">
        <v>1</v>
      </c>
      <c r="H100" s="35">
        <f>F100 * G100 * 1231.42248</f>
        <v>246.28449599999999</v>
      </c>
      <c r="I100" s="35">
        <f>F100 * G100 * 365.698861</f>
        <v>73.13977220000001</v>
      </c>
      <c r="J100" s="35">
        <f t="shared" si="28"/>
        <v>0</v>
      </c>
      <c r="K100" s="35">
        <f>F100 * G100 * 1172.314201</f>
        <v>234.46284019999999</v>
      </c>
      <c r="L100" s="35">
        <f>F100 * G100 * 290.790732</f>
        <v>58.1581464</v>
      </c>
      <c r="M100" s="35">
        <f>F100 * G100 * 246.284496</f>
        <v>49.256899199999999</v>
      </c>
      <c r="N100" s="36">
        <f t="shared" si="29"/>
        <v>661.30215399999997</v>
      </c>
      <c r="O100" s="71">
        <f t="shared" si="30"/>
        <v>809.84053732071015</v>
      </c>
      <c r="P100" s="37">
        <f t="shared" si="31"/>
        <v>5.4547940060938015E-3</v>
      </c>
    </row>
    <row r="101" spans="2:16" ht="30" x14ac:dyDescent="0.25">
      <c r="B101" s="30">
        <v>51</v>
      </c>
      <c r="C101" s="31" t="s">
        <v>237</v>
      </c>
      <c r="D101" s="32" t="s">
        <v>238</v>
      </c>
      <c r="E101" s="32" t="s">
        <v>236</v>
      </c>
      <c r="F101" s="33">
        <v>0.2</v>
      </c>
      <c r="G101" s="34">
        <v>1</v>
      </c>
      <c r="H101" s="35">
        <f>F101 * G101 * 1140.206</f>
        <v>228.0412</v>
      </c>
      <c r="I101" s="35">
        <f>F101 * G101 * 367.259668</f>
        <v>73.451933600000004</v>
      </c>
      <c r="J101" s="35">
        <f t="shared" si="28"/>
        <v>0</v>
      </c>
      <c r="K101" s="35">
        <f>F101 * G101 * 1085.476112</f>
        <v>217.09522240000001</v>
      </c>
      <c r="L101" s="35">
        <f>F101 * G101 * 272.258886999999</f>
        <v>54.451777399999798</v>
      </c>
      <c r="M101" s="35">
        <f>F101 * G101 * 228.0412</f>
        <v>45.608240000000002</v>
      </c>
      <c r="N101" s="36">
        <f t="shared" si="29"/>
        <v>618.64837339999985</v>
      </c>
      <c r="O101" s="71">
        <f t="shared" si="30"/>
        <v>757.60607779124086</v>
      </c>
      <c r="P101" s="37">
        <f t="shared" si="31"/>
        <v>5.1029615111491062E-3</v>
      </c>
    </row>
    <row r="102" spans="2:16" x14ac:dyDescent="0.25">
      <c r="B102" s="30">
        <v>52</v>
      </c>
      <c r="C102" s="31" t="s">
        <v>239</v>
      </c>
      <c r="D102" s="32" t="s">
        <v>240</v>
      </c>
      <c r="E102" s="32" t="s">
        <v>241</v>
      </c>
      <c r="F102" s="33">
        <v>1</v>
      </c>
      <c r="G102" s="34">
        <v>1</v>
      </c>
      <c r="H102" s="35">
        <f>F102 * G102 * 12.14643</f>
        <v>12.146430000000001</v>
      </c>
      <c r="I102" s="35">
        <f>F102 * G102 * 1.50115</f>
        <v>1.50115</v>
      </c>
      <c r="J102" s="35">
        <f t="shared" si="28"/>
        <v>0</v>
      </c>
      <c r="K102" s="35">
        <f>F102 * G102 * 11.563402</f>
        <v>11.563402</v>
      </c>
      <c r="L102" s="35">
        <f>F102 * G102 * 2.647153</f>
        <v>2.6471529999999999</v>
      </c>
      <c r="M102" s="35">
        <f>F102 * G102 * 2.429286</f>
        <v>2.4292859999999998</v>
      </c>
      <c r="N102" s="36">
        <f t="shared" si="29"/>
        <v>30.287421000000002</v>
      </c>
      <c r="O102" s="71">
        <f t="shared" si="30"/>
        <v>37.090430067915008</v>
      </c>
      <c r="P102" s="37">
        <f t="shared" si="31"/>
        <v>2.4982777015246127E-4</v>
      </c>
    </row>
    <row r="103" spans="2:16" x14ac:dyDescent="0.25">
      <c r="B103" s="30">
        <v>53</v>
      </c>
      <c r="C103" s="31" t="s">
        <v>242</v>
      </c>
      <c r="D103" s="32" t="s">
        <v>243</v>
      </c>
      <c r="E103" s="32" t="s">
        <v>244</v>
      </c>
      <c r="F103" s="33">
        <v>2</v>
      </c>
      <c r="G103" s="34">
        <v>1</v>
      </c>
      <c r="H103" s="35">
        <f>F103 * G103 * 30.366075</f>
        <v>60.732149999999997</v>
      </c>
      <c r="I103" s="35">
        <f>F103 * G103 * 155.096104</f>
        <v>310.19220799999999</v>
      </c>
      <c r="J103" s="35">
        <f t="shared" si="28"/>
        <v>0</v>
      </c>
      <c r="K103" s="35">
        <f>F103 * G103 * 28.908504</f>
        <v>57.817008000000001</v>
      </c>
      <c r="L103" s="35">
        <f>F103 * G103 * 22.508921</f>
        <v>45.017842000000002</v>
      </c>
      <c r="M103" s="35">
        <f>F103 * G103 * 6.073215</f>
        <v>12.146430000000001</v>
      </c>
      <c r="N103" s="36">
        <f t="shared" si="29"/>
        <v>485.90563799999995</v>
      </c>
      <c r="O103" s="71">
        <f t="shared" si="30"/>
        <v>595.04733287937006</v>
      </c>
      <c r="P103" s="37">
        <f t="shared" si="31"/>
        <v>4.0080243889385305E-3</v>
      </c>
    </row>
    <row r="104" spans="2:16" x14ac:dyDescent="0.25">
      <c r="B104" s="30">
        <v>54</v>
      </c>
      <c r="C104" s="31" t="s">
        <v>245</v>
      </c>
      <c r="D104" s="32" t="s">
        <v>246</v>
      </c>
      <c r="E104" s="32" t="s">
        <v>247</v>
      </c>
      <c r="F104" s="33">
        <v>0.02</v>
      </c>
      <c r="G104" s="34">
        <v>1</v>
      </c>
      <c r="H104" s="35">
        <f>F104 * G104 * 11587.69422</f>
        <v>231.7538844</v>
      </c>
      <c r="I104" s="35">
        <f>F104 * G104 * 14545.312165</f>
        <v>290.90624329999997</v>
      </c>
      <c r="J104" s="35">
        <f t="shared" si="28"/>
        <v>0</v>
      </c>
      <c r="K104" s="35">
        <f>F104 * G104 * 11031.484897</f>
        <v>220.62969794</v>
      </c>
      <c r="L104" s="35">
        <f>F104 * G104 * 3902.271584</f>
        <v>78.045431680000007</v>
      </c>
      <c r="M104" s="35">
        <f>F104 * G104 * 2317.538844</f>
        <v>46.350776880000005</v>
      </c>
      <c r="N104" s="36">
        <f t="shared" si="29"/>
        <v>867.68603419999999</v>
      </c>
      <c r="O104" s="71">
        <f t="shared" si="30"/>
        <v>1062.5813327718331</v>
      </c>
      <c r="P104" s="37">
        <f t="shared" si="31"/>
        <v>7.1571649205991565E-3</v>
      </c>
    </row>
    <row r="105" spans="2:16" x14ac:dyDescent="0.25">
      <c r="B105" s="30">
        <v>55</v>
      </c>
      <c r="C105" s="31" t="s">
        <v>248</v>
      </c>
      <c r="D105" s="32" t="s">
        <v>249</v>
      </c>
      <c r="E105" s="32" t="s">
        <v>250</v>
      </c>
      <c r="F105" s="33">
        <v>0.02</v>
      </c>
      <c r="G105" s="34">
        <v>1</v>
      </c>
      <c r="H105" s="35">
        <f>F105 * G105 * 21620.6454</f>
        <v>432.41290800000002</v>
      </c>
      <c r="I105" s="35">
        <f>F105 * G105 * 64191.056331</f>
        <v>1283.8211266200001</v>
      </c>
      <c r="J105" s="35">
        <f t="shared" si="28"/>
        <v>0</v>
      </c>
      <c r="K105" s="35">
        <f>F105 * G105 * 20582.854421</f>
        <v>411.65708842000004</v>
      </c>
      <c r="L105" s="35">
        <f>F105 * G105 * 11171.428396</f>
        <v>223.42856791999998</v>
      </c>
      <c r="M105" s="35">
        <f>F105 * G105 * 4324.12908</f>
        <v>86.482581599999989</v>
      </c>
      <c r="N105" s="36">
        <f t="shared" si="29"/>
        <v>2437.8022725599999</v>
      </c>
      <c r="O105" s="71">
        <f t="shared" si="30"/>
        <v>2985.3692300110647</v>
      </c>
      <c r="P105" s="37">
        <f t="shared" si="31"/>
        <v>2.0108371255058901E-2</v>
      </c>
    </row>
    <row r="106" spans="2:16" x14ac:dyDescent="0.25">
      <c r="B106" s="30">
        <v>56</v>
      </c>
      <c r="C106" s="31" t="s">
        <v>251</v>
      </c>
      <c r="D106" s="32" t="s">
        <v>252</v>
      </c>
      <c r="E106" s="32" t="s">
        <v>250</v>
      </c>
      <c r="F106" s="33">
        <v>0.02</v>
      </c>
      <c r="G106" s="34">
        <v>1</v>
      </c>
      <c r="H106" s="35">
        <f>F106 * G106 * 14818.6445999999</f>
        <v>296.37289199999799</v>
      </c>
      <c r="I106" s="35">
        <f>F106 * G106 * 67644.90536</f>
        <v>1352.8981072000001</v>
      </c>
      <c r="J106" s="35">
        <f t="shared" si="28"/>
        <v>0</v>
      </c>
      <c r="K106" s="35">
        <f>F106 * G106 * 14107.349659</f>
        <v>282.14699317999998</v>
      </c>
      <c r="L106" s="35">
        <f>F106 * G106 * 10139.94446</f>
        <v>202.79888920000002</v>
      </c>
      <c r="M106" s="35">
        <f>F106 * G106 * 2963.72892</f>
        <v>59.274578400000003</v>
      </c>
      <c r="N106" s="36">
        <f t="shared" si="29"/>
        <v>2193.4914599799981</v>
      </c>
      <c r="O106" s="71">
        <f t="shared" si="30"/>
        <v>2686.1825442634058</v>
      </c>
      <c r="P106" s="37">
        <f t="shared" si="31"/>
        <v>1.8093157561856112E-2</v>
      </c>
    </row>
    <row r="107" spans="2:16" x14ac:dyDescent="0.25">
      <c r="B107" s="38"/>
      <c r="C107" s="39" t="s">
        <v>253</v>
      </c>
      <c r="D107" s="40" t="s">
        <v>254</v>
      </c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</row>
    <row r="108" spans="2:16" x14ac:dyDescent="0.25">
      <c r="B108" s="30">
        <v>57</v>
      </c>
      <c r="C108" s="31" t="s">
        <v>255</v>
      </c>
      <c r="D108" s="32" t="s">
        <v>256</v>
      </c>
      <c r="E108" s="32" t="s">
        <v>257</v>
      </c>
      <c r="F108" s="33">
        <v>0.05</v>
      </c>
      <c r="G108" s="34">
        <v>1</v>
      </c>
      <c r="H108" s="35">
        <f>F108 * G108 * 1680.25615</f>
        <v>84.012807500000008</v>
      </c>
      <c r="I108" s="35">
        <f>F108 * G108 * 253.648478</f>
        <v>12.682423900000002</v>
      </c>
      <c r="J108" s="35">
        <f t="shared" ref="J108:J114" si="32">F108 * G108 * 0</f>
        <v>0</v>
      </c>
      <c r="K108" s="35">
        <f>F108 * G108 * 1599.603854</f>
        <v>79.980192700000003</v>
      </c>
      <c r="L108" s="35">
        <f>F108 * G108 * 371.01839</f>
        <v>18.550919500000003</v>
      </c>
      <c r="M108" s="35">
        <f>F108 * G108 * 336.05123</f>
        <v>16.802561499999999</v>
      </c>
      <c r="N108" s="36">
        <f t="shared" ref="N108:N114" si="33">SUM(H108:M108)</f>
        <v>212.0289051</v>
      </c>
      <c r="O108" s="71">
        <f t="shared" ref="O108:O114" si="34">N108*1.07*1.09*1.05</f>
        <v>259.65377761903653</v>
      </c>
      <c r="P108" s="37">
        <f t="shared" ref="P108:P114" si="35">IF($P$9&gt;0,O108/$P$9/12,0)</f>
        <v>1.7489342710625912E-3</v>
      </c>
    </row>
    <row r="109" spans="2:16" ht="30" x14ac:dyDescent="0.25">
      <c r="B109" s="30">
        <v>58</v>
      </c>
      <c r="C109" s="31" t="s">
        <v>258</v>
      </c>
      <c r="D109" s="32" t="s">
        <v>259</v>
      </c>
      <c r="E109" s="32" t="s">
        <v>236</v>
      </c>
      <c r="F109" s="33">
        <v>0.5</v>
      </c>
      <c r="G109" s="34">
        <v>1</v>
      </c>
      <c r="H109" s="35">
        <f>F109 * G109 * 889.36068</f>
        <v>444.68034</v>
      </c>
      <c r="I109" s="35">
        <f>F109 * G109 * 284.119261</f>
        <v>142.0596305</v>
      </c>
      <c r="J109" s="35">
        <f t="shared" si="32"/>
        <v>0</v>
      </c>
      <c r="K109" s="35">
        <f>F109 * G109 * 846.671366999999</f>
        <v>423.3356834999995</v>
      </c>
      <c r="L109" s="35">
        <f>F109 * G109 * 212.115887999999</f>
        <v>106.05794399999949</v>
      </c>
      <c r="M109" s="35">
        <f>F109 * G109 * 177.872136</f>
        <v>88.936068000000006</v>
      </c>
      <c r="N109" s="36">
        <f t="shared" si="33"/>
        <v>1205.069665999999</v>
      </c>
      <c r="O109" s="71">
        <f t="shared" si="34"/>
        <v>1475.746389028589</v>
      </c>
      <c r="P109" s="37">
        <f t="shared" si="35"/>
        <v>9.9400958416086659E-3</v>
      </c>
    </row>
    <row r="110" spans="2:16" x14ac:dyDescent="0.25">
      <c r="B110" s="30">
        <v>59</v>
      </c>
      <c r="C110" s="31" t="s">
        <v>260</v>
      </c>
      <c r="D110" s="32" t="s">
        <v>261</v>
      </c>
      <c r="E110" s="32" t="s">
        <v>262</v>
      </c>
      <c r="F110" s="33">
        <v>0.1</v>
      </c>
      <c r="G110" s="34">
        <v>1</v>
      </c>
      <c r="H110" s="35">
        <f>F110 * G110 * 658.78956</f>
        <v>65.878956000000002</v>
      </c>
      <c r="I110" s="35">
        <f>F110 * G110 * 3385.664386</f>
        <v>338.56643860000003</v>
      </c>
      <c r="J110" s="35">
        <f t="shared" si="32"/>
        <v>0</v>
      </c>
      <c r="K110" s="35">
        <f>F110 * G110 * 627.167661</f>
        <v>62.716766100000001</v>
      </c>
      <c r="L110" s="35">
        <f>F110 * G110 * 490.520269</f>
        <v>49.052026900000001</v>
      </c>
      <c r="M110" s="35">
        <f>F110 * G110 * 131.757912</f>
        <v>13.175791200000001</v>
      </c>
      <c r="N110" s="36">
        <f t="shared" si="33"/>
        <v>529.38997880000011</v>
      </c>
      <c r="O110" s="71">
        <f t="shared" si="34"/>
        <v>648.29890888816226</v>
      </c>
      <c r="P110" s="37">
        <f t="shared" si="35"/>
        <v>4.3667078139357843E-3</v>
      </c>
    </row>
    <row r="111" spans="2:16" x14ac:dyDescent="0.25">
      <c r="B111" s="30">
        <v>60</v>
      </c>
      <c r="C111" s="31" t="s">
        <v>263</v>
      </c>
      <c r="D111" s="32" t="s">
        <v>264</v>
      </c>
      <c r="E111" s="32" t="s">
        <v>265</v>
      </c>
      <c r="F111" s="33">
        <v>0.08</v>
      </c>
      <c r="G111" s="34">
        <v>0.5</v>
      </c>
      <c r="H111" s="35">
        <f>F111 * G111 * 3036.6075</f>
        <v>121.46430000000001</v>
      </c>
      <c r="I111" s="35">
        <f>F111 * G111 * 14994.544136</f>
        <v>599.78176544000007</v>
      </c>
      <c r="J111" s="35">
        <f t="shared" si="32"/>
        <v>0</v>
      </c>
      <c r="K111" s="35">
        <f>F111 * G111 * 2890.85034</f>
        <v>115.6340136</v>
      </c>
      <c r="L111" s="35">
        <f>F111 * G111 * 2196.810208</f>
        <v>87.872408319999991</v>
      </c>
      <c r="M111" s="35">
        <f>F111 * G111 * 607.3215</f>
        <v>24.292860000000001</v>
      </c>
      <c r="N111" s="36">
        <f t="shared" si="33"/>
        <v>949.04534736000005</v>
      </c>
      <c r="O111" s="71">
        <f t="shared" si="34"/>
        <v>1162.2151680572665</v>
      </c>
      <c r="P111" s="37">
        <f t="shared" si="35"/>
        <v>7.8282625286754132E-3</v>
      </c>
    </row>
    <row r="112" spans="2:16" x14ac:dyDescent="0.25">
      <c r="B112" s="30">
        <v>61</v>
      </c>
      <c r="C112" s="31" t="s">
        <v>266</v>
      </c>
      <c r="D112" s="32" t="s">
        <v>267</v>
      </c>
      <c r="E112" s="32" t="s">
        <v>268</v>
      </c>
      <c r="F112" s="33">
        <v>0.08</v>
      </c>
      <c r="G112" s="34">
        <v>0.5</v>
      </c>
      <c r="H112" s="35">
        <f>F112 * G112 * 7846.59378</f>
        <v>313.86375120000002</v>
      </c>
      <c r="I112" s="35">
        <f>F112 * G112 * 6568.45736</f>
        <v>262.73829440000003</v>
      </c>
      <c r="J112" s="35">
        <f t="shared" si="32"/>
        <v>0</v>
      </c>
      <c r="K112" s="35">
        <f>F112 * G112 * 7469.957279</f>
        <v>298.79829116000002</v>
      </c>
      <c r="L112" s="35">
        <f>F112 * G112 * 2297.92588399999</f>
        <v>91.917035359999616</v>
      </c>
      <c r="M112" s="35">
        <f>F112 * G112 * 1569.318756</f>
        <v>62.772750240000001</v>
      </c>
      <c r="N112" s="36">
        <f t="shared" si="33"/>
        <v>1030.0901223599997</v>
      </c>
      <c r="O112" s="71">
        <f t="shared" si="34"/>
        <v>1261.4638151938912</v>
      </c>
      <c r="P112" s="37">
        <f t="shared" si="35"/>
        <v>8.4967656481968103E-3</v>
      </c>
    </row>
    <row r="113" spans="2:16" x14ac:dyDescent="0.25">
      <c r="B113" s="30">
        <v>62</v>
      </c>
      <c r="C113" s="31" t="s">
        <v>269</v>
      </c>
      <c r="D113" s="32" t="s">
        <v>270</v>
      </c>
      <c r="E113" s="32" t="s">
        <v>148</v>
      </c>
      <c r="F113" s="33">
        <v>0.02</v>
      </c>
      <c r="G113" s="34">
        <v>1</v>
      </c>
      <c r="H113" s="35">
        <f>F113 * G113 * 20346.39585</f>
        <v>406.92791700000004</v>
      </c>
      <c r="I113" s="35">
        <f>F113 * G113 * 4051.4143</f>
        <v>81.028285999999994</v>
      </c>
      <c r="J113" s="35">
        <f t="shared" si="32"/>
        <v>0</v>
      </c>
      <c r="K113" s="35">
        <f>F113 * G113 * 19369.76885</f>
        <v>387.395377</v>
      </c>
      <c r="L113" s="35">
        <f>F113 * G113 * 4595.59579499999</f>
        <v>91.911915899999812</v>
      </c>
      <c r="M113" s="35">
        <f>F113 * G113 * 4069.27917</f>
        <v>81.385583400000002</v>
      </c>
      <c r="N113" s="36">
        <f t="shared" si="33"/>
        <v>1048.6490792999998</v>
      </c>
      <c r="O113" s="71">
        <f t="shared" si="34"/>
        <v>1284.1913922469694</v>
      </c>
      <c r="P113" s="37">
        <f t="shared" si="35"/>
        <v>8.649850416578897E-3</v>
      </c>
    </row>
    <row r="114" spans="2:16" ht="30" x14ac:dyDescent="0.25">
      <c r="B114" s="30">
        <v>63</v>
      </c>
      <c r="C114" s="31" t="s">
        <v>271</v>
      </c>
      <c r="D114" s="32" t="s">
        <v>272</v>
      </c>
      <c r="E114" s="32" t="s">
        <v>273</v>
      </c>
      <c r="F114" s="33">
        <v>0.06</v>
      </c>
      <c r="G114" s="34">
        <v>1</v>
      </c>
      <c r="H114" s="35">
        <f>F114 * G114 * 9287.97014</f>
        <v>557.27820839999993</v>
      </c>
      <c r="I114" s="35">
        <f>F114 * G114 * 37850.238465</f>
        <v>2271.0143078999999</v>
      </c>
      <c r="J114" s="35">
        <f t="shared" si="32"/>
        <v>0</v>
      </c>
      <c r="K114" s="35">
        <f>F114 * G114 * 8842.147573</f>
        <v>530.52885437999998</v>
      </c>
      <c r="L114" s="35">
        <f>F114 * G114 * 5877.937399</f>
        <v>352.67624394000001</v>
      </c>
      <c r="M114" s="35">
        <f>F114 * G114 * 1857.594028</f>
        <v>111.45564168</v>
      </c>
      <c r="N114" s="36">
        <f t="shared" si="33"/>
        <v>3822.9532562999998</v>
      </c>
      <c r="O114" s="71">
        <f t="shared" si="34"/>
        <v>4681.645901963826</v>
      </c>
      <c r="P114" s="37">
        <f t="shared" si="35"/>
        <v>3.1533879606933844E-2</v>
      </c>
    </row>
    <row r="115" spans="2:16" x14ac:dyDescent="0.25">
      <c r="B115" s="27"/>
      <c r="C115" s="28" t="s">
        <v>274</v>
      </c>
      <c r="D115" s="29" t="s">
        <v>275</v>
      </c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</row>
    <row r="116" spans="2:16" x14ac:dyDescent="0.25">
      <c r="B116" s="38"/>
      <c r="C116" s="39" t="s">
        <v>276</v>
      </c>
      <c r="D116" s="40" t="s">
        <v>277</v>
      </c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</row>
    <row r="117" spans="2:16" ht="30" x14ac:dyDescent="0.25">
      <c r="B117" s="30">
        <v>64</v>
      </c>
      <c r="C117" s="31" t="s">
        <v>278</v>
      </c>
      <c r="D117" s="32" t="s">
        <v>279</v>
      </c>
      <c r="E117" s="32" t="s">
        <v>280</v>
      </c>
      <c r="F117" s="33">
        <v>0.02</v>
      </c>
      <c r="G117" s="34">
        <v>1</v>
      </c>
      <c r="H117" s="35">
        <f>F117 * G117 * 41103.83</f>
        <v>822.0766000000001</v>
      </c>
      <c r="I117" s="35">
        <f>F117 * G117 * 20460.176586</f>
        <v>409.20353172000006</v>
      </c>
      <c r="J117" s="35">
        <f>F117 * G117 * 0</f>
        <v>0</v>
      </c>
      <c r="K117" s="35">
        <f>F117 * G117 * 39130.84616</f>
        <v>782.61692320000009</v>
      </c>
      <c r="L117" s="35">
        <f>F117 * G117 * 10572.959539</f>
        <v>211.45919078</v>
      </c>
      <c r="M117" s="35">
        <f>F117 * G117 * 8220.766</f>
        <v>164.41532000000001</v>
      </c>
      <c r="N117" s="36">
        <f>SUM(H117:M117)</f>
        <v>2389.7715657000003</v>
      </c>
      <c r="O117" s="71">
        <f>N117*1.07*1.09*1.05</f>
        <v>2926.5501059297062</v>
      </c>
      <c r="P117" s="37">
        <f>IF($P$9&gt;0,O117/$P$9/12,0)</f>
        <v>1.9712186832698205E-2</v>
      </c>
    </row>
    <row r="118" spans="2:16" x14ac:dyDescent="0.25">
      <c r="B118" s="38"/>
      <c r="C118" s="39" t="s">
        <v>281</v>
      </c>
      <c r="D118" s="40" t="s">
        <v>282</v>
      </c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</row>
    <row r="119" spans="2:16" x14ac:dyDescent="0.25">
      <c r="B119" s="30">
        <v>65</v>
      </c>
      <c r="C119" s="31" t="s">
        <v>283</v>
      </c>
      <c r="D119" s="32" t="s">
        <v>284</v>
      </c>
      <c r="E119" s="32" t="s">
        <v>285</v>
      </c>
      <c r="F119" s="33">
        <v>0.04</v>
      </c>
      <c r="G119" s="34">
        <v>1</v>
      </c>
      <c r="H119" s="35">
        <f>F119 * G119 * 12146.43</f>
        <v>485.85720000000003</v>
      </c>
      <c r="I119" s="35">
        <f>F119 * G119 * 13219.555501</f>
        <v>528.78222004000008</v>
      </c>
      <c r="J119" s="35">
        <f>F119 * G119 * 0</f>
        <v>0</v>
      </c>
      <c r="K119" s="35">
        <f>F119 * G119 * 11563.40136</f>
        <v>462.53605440000001</v>
      </c>
      <c r="L119" s="35">
        <f>F119 * G119 * 3877.58562</f>
        <v>155.1034248</v>
      </c>
      <c r="M119" s="35">
        <f>F119 * G119 * 2429.286</f>
        <v>97.171440000000004</v>
      </c>
      <c r="N119" s="36">
        <f>SUM(H119:M119)</f>
        <v>1729.4503392400002</v>
      </c>
      <c r="O119" s="71">
        <f>N119*1.07*1.09*1.05</f>
        <v>2117.9108271883929</v>
      </c>
      <c r="P119" s="37">
        <f>IF($P$9&gt;0,O119/$P$9/12,0)</f>
        <v>1.4265484071481253E-2</v>
      </c>
    </row>
    <row r="120" spans="2:16" x14ac:dyDescent="0.25">
      <c r="B120" s="38"/>
      <c r="C120" s="39" t="s">
        <v>286</v>
      </c>
      <c r="D120" s="40" t="s">
        <v>287</v>
      </c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2:16" ht="28.5" x14ac:dyDescent="0.25">
      <c r="B121" s="38"/>
      <c r="C121" s="39" t="s">
        <v>288</v>
      </c>
      <c r="D121" s="41" t="s">
        <v>289</v>
      </c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</row>
    <row r="122" spans="2:16" ht="30" x14ac:dyDescent="0.25">
      <c r="B122" s="30">
        <v>66</v>
      </c>
      <c r="C122" s="31" t="s">
        <v>290</v>
      </c>
      <c r="D122" s="32" t="s">
        <v>291</v>
      </c>
      <c r="E122" s="32" t="s">
        <v>201</v>
      </c>
      <c r="F122" s="33">
        <v>0.04</v>
      </c>
      <c r="G122" s="34">
        <v>1</v>
      </c>
      <c r="H122" s="35">
        <f>F122 * G122 * 10526.906</f>
        <v>421.07624000000004</v>
      </c>
      <c r="I122" s="35">
        <f>F122 * G122 * 13205.572305</f>
        <v>528.22289220000005</v>
      </c>
      <c r="J122" s="35">
        <f>F122 * G122 * 0</f>
        <v>0</v>
      </c>
      <c r="K122" s="35">
        <f>F122 * G122 * 10021.614512</f>
        <v>400.86458048000003</v>
      </c>
      <c r="L122" s="35">
        <f>F122 * G122 * 3544.179746</f>
        <v>141.76718983999999</v>
      </c>
      <c r="M122" s="35">
        <f>F122 * G122 * 2105.3812</f>
        <v>84.215247999999988</v>
      </c>
      <c r="N122" s="36">
        <f>SUM(H122:M122)</f>
        <v>1576.14615052</v>
      </c>
      <c r="O122" s="71">
        <f t="shared" ref="O122:O123" si="36">N122*1.07*1.09*1.05</f>
        <v>1930.1722181190501</v>
      </c>
      <c r="P122" s="37">
        <f t="shared" ref="P122:P123" si="37">IF($P$9&gt;0,O122/$P$9/12,0)</f>
        <v>1.3000944458717601E-2</v>
      </c>
    </row>
    <row r="123" spans="2:16" ht="30" x14ac:dyDescent="0.25">
      <c r="B123" s="30">
        <v>67</v>
      </c>
      <c r="C123" s="31" t="s">
        <v>292</v>
      </c>
      <c r="D123" s="32" t="s">
        <v>293</v>
      </c>
      <c r="E123" s="32" t="s">
        <v>201</v>
      </c>
      <c r="F123" s="33">
        <v>0.04</v>
      </c>
      <c r="G123" s="34">
        <v>1</v>
      </c>
      <c r="H123" s="35">
        <f>F123 * G123 * 13895.063</f>
        <v>555.80252000000007</v>
      </c>
      <c r="I123" s="35">
        <f>F123 * G123 * 12624.216449</f>
        <v>504.96865795999997</v>
      </c>
      <c r="J123" s="35">
        <f>F123 * G123 * 0</f>
        <v>0</v>
      </c>
      <c r="K123" s="35">
        <f>F123 * G123 * 13228.099976</f>
        <v>529.12399903999994</v>
      </c>
      <c r="L123" s="35">
        <f>F123 * G123 * 4173.47484</f>
        <v>166.9389936</v>
      </c>
      <c r="M123" s="35">
        <f>F123 * G123 * 2779.0126</f>
        <v>111.160504</v>
      </c>
      <c r="N123" s="36">
        <f>SUM(H123:M123)</f>
        <v>1867.9946745999998</v>
      </c>
      <c r="O123" s="71">
        <f t="shared" si="36"/>
        <v>2287.5742984352787</v>
      </c>
      <c r="P123" s="37">
        <f t="shared" si="37"/>
        <v>1.5408276069857195E-2</v>
      </c>
    </row>
    <row r="124" spans="2:16" x14ac:dyDescent="0.25">
      <c r="B124" s="38"/>
      <c r="C124" s="39" t="s">
        <v>294</v>
      </c>
      <c r="D124" s="40" t="s">
        <v>295</v>
      </c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2:16" ht="30" x14ac:dyDescent="0.25">
      <c r="B125" s="30">
        <v>68</v>
      </c>
      <c r="C125" s="31" t="s">
        <v>296</v>
      </c>
      <c r="D125" s="32" t="s">
        <v>297</v>
      </c>
      <c r="E125" s="32" t="s">
        <v>298</v>
      </c>
      <c r="F125" s="33">
        <v>0.04</v>
      </c>
      <c r="G125" s="34">
        <v>1</v>
      </c>
      <c r="H125" s="35">
        <f>F125 * G125 * 16773.313923</f>
        <v>670.93255692000002</v>
      </c>
      <c r="I125" s="35">
        <f>F125 * G125 * 1930.152429</f>
        <v>77.206097159999999</v>
      </c>
      <c r="J125" s="35">
        <f>F125 * G125 * 0</f>
        <v>0</v>
      </c>
      <c r="K125" s="35">
        <f>F125 * G125 * 15968.1948549999</f>
        <v>638.72779419999597</v>
      </c>
      <c r="L125" s="35">
        <f>F125 * G125 * 3640.524427</f>
        <v>145.62097707999999</v>
      </c>
      <c r="M125" s="35">
        <f>F125 * G125 * 3354.662785</f>
        <v>134.1865114</v>
      </c>
      <c r="N125" s="36">
        <f>SUM(H125:M125)</f>
        <v>1666.673936759996</v>
      </c>
      <c r="O125" s="71">
        <f>N125*1.07*1.09*1.05</f>
        <v>2041.0339030653427</v>
      </c>
      <c r="P125" s="37">
        <f>IF($P$9&gt;0,O125/$P$9/12,0)</f>
        <v>1.3747668815775828E-2</v>
      </c>
    </row>
    <row r="126" spans="2:16" x14ac:dyDescent="0.25">
      <c r="B126" s="38"/>
      <c r="C126" s="39" t="s">
        <v>299</v>
      </c>
      <c r="D126" s="40" t="s">
        <v>300</v>
      </c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2:16" x14ac:dyDescent="0.25">
      <c r="B127" s="30">
        <v>69</v>
      </c>
      <c r="C127" s="31" t="s">
        <v>301</v>
      </c>
      <c r="D127" s="32" t="s">
        <v>302</v>
      </c>
      <c r="E127" s="32" t="s">
        <v>303</v>
      </c>
      <c r="F127" s="33">
        <v>0.12</v>
      </c>
      <c r="G127" s="34">
        <v>1</v>
      </c>
      <c r="H127" s="35">
        <f>F127 * G127 * 9248.36175</f>
        <v>1109.80341</v>
      </c>
      <c r="I127" s="35">
        <f>F127 * G127 * 1461.792087</f>
        <v>175.41505043999999</v>
      </c>
      <c r="J127" s="35">
        <f>F127 * G127 * 0</f>
        <v>0</v>
      </c>
      <c r="K127" s="35">
        <f>F127 * G127 * 8804.440386</f>
        <v>1056.5328463200001</v>
      </c>
      <c r="L127" s="35">
        <f>F127 * G127 * 2049.032393</f>
        <v>245.88388715999997</v>
      </c>
      <c r="M127" s="35">
        <f>F127 * G127 * 1849.67235</f>
        <v>221.96068199999999</v>
      </c>
      <c r="N127" s="36">
        <f>SUM(H127:M127)</f>
        <v>2809.5958759200003</v>
      </c>
      <c r="O127" s="71">
        <f>N127*1.07*1.09*1.05</f>
        <v>3440.6732535897718</v>
      </c>
      <c r="P127" s="37">
        <f>IF($P$9&gt;0,O127/$P$9/12,0)</f>
        <v>2.3175135073753714E-2</v>
      </c>
    </row>
    <row r="128" spans="2:16" x14ac:dyDescent="0.25">
      <c r="B128" s="38"/>
      <c r="C128" s="39" t="s">
        <v>304</v>
      </c>
      <c r="D128" s="40" t="s">
        <v>305</v>
      </c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2:16" ht="30" x14ac:dyDescent="0.25">
      <c r="B129" s="30">
        <v>70</v>
      </c>
      <c r="C129" s="31" t="s">
        <v>306</v>
      </c>
      <c r="D129" s="32" t="s">
        <v>307</v>
      </c>
      <c r="E129" s="32" t="s">
        <v>195</v>
      </c>
      <c r="F129" s="33">
        <v>0.14000000000000001</v>
      </c>
      <c r="G129" s="34">
        <v>1</v>
      </c>
      <c r="H129" s="35">
        <f>F129 * G129 * 7809.7277</f>
        <v>1093.3618780000002</v>
      </c>
      <c r="I129" s="35">
        <f>F129 * G129 * 2462.44734</f>
        <v>344.74262760000005</v>
      </c>
      <c r="J129" s="35">
        <f>F129 * G129 * 0</f>
        <v>0</v>
      </c>
      <c r="K129" s="35">
        <f>F129 * G129 * 7434.86077</f>
        <v>1040.8805078</v>
      </c>
      <c r="L129" s="35">
        <f>F129 * G129 * 1859.23876</f>
        <v>260.29342640000004</v>
      </c>
      <c r="M129" s="35">
        <f>F129 * G129 * 1561.94554</f>
        <v>218.67237560000001</v>
      </c>
      <c r="N129" s="36">
        <f>SUM(H129:M129)</f>
        <v>2957.9508154000005</v>
      </c>
      <c r="O129" s="71">
        <f t="shared" ref="O129:O131" si="38">N129*1.07*1.09*1.05</f>
        <v>3622.3509378010726</v>
      </c>
      <c r="P129" s="37">
        <f t="shared" ref="P129:P131" si="39">IF($P$9&gt;0,O129/$P$9/12,0)</f>
        <v>2.4398850480931891E-2</v>
      </c>
    </row>
    <row r="130" spans="2:16" x14ac:dyDescent="0.25">
      <c r="B130" s="30">
        <v>71</v>
      </c>
      <c r="C130" s="31" t="s">
        <v>308</v>
      </c>
      <c r="D130" s="32" t="s">
        <v>309</v>
      </c>
      <c r="E130" s="32" t="s">
        <v>310</v>
      </c>
      <c r="F130" s="33">
        <v>0.02</v>
      </c>
      <c r="G130" s="34">
        <v>1</v>
      </c>
      <c r="H130" s="35">
        <f>F130 * G130 * 2548.43746</f>
        <v>50.968749200000005</v>
      </c>
      <c r="I130" s="35">
        <f>F130 * G130 * 566.597779</f>
        <v>11.331955579999999</v>
      </c>
      <c r="J130" s="35">
        <f>F130 * G130 * 0</f>
        <v>0</v>
      </c>
      <c r="K130" s="35">
        <f>F130 * G130 * 2426.112462</f>
        <v>48.522249240000001</v>
      </c>
      <c r="L130" s="35">
        <f>F130 * G130 * 581.820509</f>
        <v>11.63641018</v>
      </c>
      <c r="M130" s="35">
        <f>F130 * G130 * 509.687492</f>
        <v>10.193749840000001</v>
      </c>
      <c r="N130" s="36">
        <f>SUM(H130:M130)</f>
        <v>132.65311403999999</v>
      </c>
      <c r="O130" s="71">
        <f t="shared" si="38"/>
        <v>162.44899325009462</v>
      </c>
      <c r="P130" s="37">
        <f t="shared" si="39"/>
        <v>1.0941978745695564E-3</v>
      </c>
    </row>
    <row r="131" spans="2:16" x14ac:dyDescent="0.25">
      <c r="B131" s="30">
        <v>72</v>
      </c>
      <c r="C131" s="31" t="s">
        <v>311</v>
      </c>
      <c r="D131" s="32" t="s">
        <v>312</v>
      </c>
      <c r="E131" s="32" t="s">
        <v>313</v>
      </c>
      <c r="F131" s="33">
        <v>0.02</v>
      </c>
      <c r="G131" s="34">
        <v>1</v>
      </c>
      <c r="H131" s="35">
        <f>F131 * G131 * 29645.356</f>
        <v>592.90711999999996</v>
      </c>
      <c r="I131" s="35">
        <f>F131 * G131 * 356587.319217</f>
        <v>7131.7463843400001</v>
      </c>
      <c r="J131" s="35">
        <f>F131 * G131 * 0</f>
        <v>0</v>
      </c>
      <c r="K131" s="35">
        <f>F131 * G131 * 28222.378912</f>
        <v>564.44757823999998</v>
      </c>
      <c r="L131" s="35">
        <f>F131 * G131 * 43517.780684</f>
        <v>870.35561367999992</v>
      </c>
      <c r="M131" s="35">
        <f>F131 * G131 * 5929.0712</f>
        <v>118.58142400000001</v>
      </c>
      <c r="N131" s="36">
        <f>SUM(H131:M131)</f>
        <v>9278.0381202600001</v>
      </c>
      <c r="O131" s="71">
        <f t="shared" si="38"/>
        <v>11362.024652642203</v>
      </c>
      <c r="P131" s="37">
        <f t="shared" si="39"/>
        <v>7.6530503372145467E-2</v>
      </c>
    </row>
    <row r="132" spans="2:16" ht="28.5" x14ac:dyDescent="0.25">
      <c r="B132" s="27"/>
      <c r="C132" s="28" t="s">
        <v>314</v>
      </c>
      <c r="D132" s="29" t="s">
        <v>315</v>
      </c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</row>
    <row r="133" spans="2:16" x14ac:dyDescent="0.25">
      <c r="B133" s="38"/>
      <c r="C133" s="39" t="s">
        <v>316</v>
      </c>
      <c r="D133" s="40" t="s">
        <v>317</v>
      </c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2:16" x14ac:dyDescent="0.25">
      <c r="B134" s="30">
        <v>73</v>
      </c>
      <c r="C134" s="31" t="s">
        <v>318</v>
      </c>
      <c r="D134" s="32" t="s">
        <v>319</v>
      </c>
      <c r="E134" s="32" t="s">
        <v>320</v>
      </c>
      <c r="F134" s="33">
        <v>0.08</v>
      </c>
      <c r="G134" s="34">
        <v>2</v>
      </c>
      <c r="H134" s="35">
        <f>F134 * G134 * 4432.5324</f>
        <v>709.20518400000003</v>
      </c>
      <c r="I134" s="35">
        <f>F134 * G134 * 17083.895458</f>
        <v>2733.4232732800001</v>
      </c>
      <c r="J134" s="35">
        <f>F134 * G134 * 0</f>
        <v>0</v>
      </c>
      <c r="K134" s="35">
        <f>F134 * G134 * 4219.770845</f>
        <v>675.16333520000001</v>
      </c>
      <c r="L134" s="35">
        <f>F134 * G134 * 2702.300864</f>
        <v>432.36813824000001</v>
      </c>
      <c r="M134" s="35">
        <f>F134 * G134 * 886.50648</f>
        <v>141.84103680000001</v>
      </c>
      <c r="N134" s="36">
        <f>SUM(H134:M134)</f>
        <v>4692.0009675200008</v>
      </c>
      <c r="O134" s="71">
        <f>N134*1.07*1.09*1.05</f>
        <v>5745.8947648395069</v>
      </c>
      <c r="P134" s="37">
        <f>IF($P$9&gt;0,O134/$P$9/12,0)</f>
        <v>3.8702276409361913E-2</v>
      </c>
    </row>
    <row r="135" spans="2:16" x14ac:dyDescent="0.25">
      <c r="B135" s="38"/>
      <c r="C135" s="39" t="s">
        <v>321</v>
      </c>
      <c r="D135" s="40" t="s">
        <v>322</v>
      </c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2:16" ht="30" x14ac:dyDescent="0.25">
      <c r="B136" s="30">
        <v>74</v>
      </c>
      <c r="C136" s="31" t="s">
        <v>323</v>
      </c>
      <c r="D136" s="32" t="s">
        <v>324</v>
      </c>
      <c r="E136" s="32" t="s">
        <v>325</v>
      </c>
      <c r="F136" s="33">
        <v>1</v>
      </c>
      <c r="G136" s="34">
        <v>2</v>
      </c>
      <c r="H136" s="35">
        <f>F136 * G136 * 308.278725</f>
        <v>616.55745000000002</v>
      </c>
      <c r="I136" s="35">
        <f>F136 * G136 * 81.910391</f>
        <v>163.82078200000001</v>
      </c>
      <c r="J136" s="35">
        <f>F136 * G136 * 0</f>
        <v>0</v>
      </c>
      <c r="K136" s="35">
        <f>F136 * G136 * 293.481346</f>
        <v>586.96269199999995</v>
      </c>
      <c r="L136" s="35">
        <f>F136 * G136 * 71.785398</f>
        <v>143.570796</v>
      </c>
      <c r="M136" s="35">
        <f>F136 * G136 * 61.655745</f>
        <v>123.31149000000001</v>
      </c>
      <c r="N136" s="36">
        <f>SUM(H136:M136)</f>
        <v>1634.2232100000001</v>
      </c>
      <c r="O136" s="71">
        <f t="shared" ref="O136:O138" si="40">N136*1.07*1.09*1.05</f>
        <v>2001.2942563141505</v>
      </c>
      <c r="P136" s="37">
        <f t="shared" ref="P136:P138" si="41">IF($P$9&gt;0,O136/$P$9/12,0)</f>
        <v>1.3479996876779221E-2</v>
      </c>
    </row>
    <row r="137" spans="2:16" ht="30" x14ac:dyDescent="0.25">
      <c r="B137" s="30">
        <v>75</v>
      </c>
      <c r="C137" s="31" t="s">
        <v>326</v>
      </c>
      <c r="D137" s="32" t="s">
        <v>327</v>
      </c>
      <c r="E137" s="32" t="s">
        <v>325</v>
      </c>
      <c r="F137" s="33">
        <v>1</v>
      </c>
      <c r="G137" s="34">
        <v>2</v>
      </c>
      <c r="H137" s="35">
        <f>F137 * G137 * 55.888452</f>
        <v>111.776904</v>
      </c>
      <c r="I137" s="35">
        <f>F137 * G137 * 1.912696</f>
        <v>3.8253919999999999</v>
      </c>
      <c r="J137" s="35">
        <f>F137 * G137 * 0</f>
        <v>0</v>
      </c>
      <c r="K137" s="35">
        <f>F137 * G137 * 53.205807</f>
        <v>106.411614</v>
      </c>
      <c r="L137" s="35">
        <f>F137 * G137 * 11.65573</f>
        <v>23.31146</v>
      </c>
      <c r="M137" s="35">
        <f>F137 * G137 * 11.17769</f>
        <v>22.35538</v>
      </c>
      <c r="N137" s="36">
        <f>SUM(H137:M137)</f>
        <v>267.68075000000005</v>
      </c>
      <c r="O137" s="71">
        <f t="shared" si="40"/>
        <v>327.80586166125011</v>
      </c>
      <c r="P137" s="37">
        <f t="shared" si="41"/>
        <v>2.2079821482733192E-3</v>
      </c>
    </row>
    <row r="138" spans="2:16" ht="30" x14ac:dyDescent="0.25">
      <c r="B138" s="30">
        <v>76</v>
      </c>
      <c r="C138" s="31" t="s">
        <v>328</v>
      </c>
      <c r="D138" s="32" t="s">
        <v>329</v>
      </c>
      <c r="E138" s="32" t="s">
        <v>330</v>
      </c>
      <c r="F138" s="33">
        <v>0.04</v>
      </c>
      <c r="G138" s="34">
        <v>2</v>
      </c>
      <c r="H138" s="35">
        <f>F138 * G138 * 7105.66155</f>
        <v>568.45292400000005</v>
      </c>
      <c r="I138" s="35">
        <f>F138 * G138 * 4996.466322</f>
        <v>399.71730576000004</v>
      </c>
      <c r="J138" s="35">
        <f>F138 * G138 * 0</f>
        <v>0</v>
      </c>
      <c r="K138" s="35">
        <f>F138 * G138 * 6764.589795</f>
        <v>541.16718360000004</v>
      </c>
      <c r="L138" s="35">
        <f>F138 * G138 * 1981.005355</f>
        <v>158.48042839999999</v>
      </c>
      <c r="M138" s="35">
        <f>F138 * G138 * 1421.13231</f>
        <v>113.6905848</v>
      </c>
      <c r="N138" s="36">
        <f>SUM(H138:M138)</f>
        <v>1781.5084265599999</v>
      </c>
      <c r="O138" s="71">
        <f t="shared" si="40"/>
        <v>2181.6619417917746</v>
      </c>
      <c r="P138" s="37">
        <f t="shared" si="41"/>
        <v>1.4694888604589493E-2</v>
      </c>
    </row>
    <row r="139" spans="2:16" x14ac:dyDescent="0.25">
      <c r="B139" s="38"/>
      <c r="C139" s="39" t="s">
        <v>331</v>
      </c>
      <c r="D139" s="40" t="s">
        <v>332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2:16" x14ac:dyDescent="0.25">
      <c r="B140" s="30">
        <v>77</v>
      </c>
      <c r="C140" s="31" t="s">
        <v>333</v>
      </c>
      <c r="D140" s="32" t="s">
        <v>334</v>
      </c>
      <c r="E140" s="32" t="s">
        <v>335</v>
      </c>
      <c r="F140" s="33">
        <v>0.23</v>
      </c>
      <c r="G140" s="34">
        <v>2</v>
      </c>
      <c r="H140" s="35">
        <f>F140 * G140 * 78.951795</f>
        <v>36.3178257</v>
      </c>
      <c r="I140" s="35">
        <f>F140 * G140 * 0</f>
        <v>0</v>
      </c>
      <c r="J140" s="35">
        <f>F140 * G140 * 0</f>
        <v>0</v>
      </c>
      <c r="K140" s="35">
        <f>F140 * G140 * 75.162109</f>
        <v>34.574570139999999</v>
      </c>
      <c r="L140" s="35">
        <f>F140 * G140 * 16.18196</f>
        <v>7.4437016000000007</v>
      </c>
      <c r="M140" s="35">
        <f>F140 * G140 * 15.790359</f>
        <v>7.2635651400000008</v>
      </c>
      <c r="N140" s="36">
        <f>SUM(H140:M140)</f>
        <v>85.59966258</v>
      </c>
      <c r="O140" s="71">
        <f t="shared" ref="O140:O144" si="42">N140*1.07*1.09*1.05</f>
        <v>104.82663079040672</v>
      </c>
      <c r="P140" s="37">
        <f t="shared" ref="P140:P144" si="43">IF($P$9&gt;0,O140/$P$9/12,0)</f>
        <v>7.0607440719909693E-4</v>
      </c>
    </row>
    <row r="141" spans="2:16" x14ac:dyDescent="0.25">
      <c r="B141" s="30">
        <v>78</v>
      </c>
      <c r="C141" s="31" t="s">
        <v>336</v>
      </c>
      <c r="D141" s="32" t="s">
        <v>337</v>
      </c>
      <c r="E141" s="32" t="s">
        <v>335</v>
      </c>
      <c r="F141" s="33">
        <v>2.9</v>
      </c>
      <c r="G141" s="34">
        <v>2</v>
      </c>
      <c r="H141" s="35">
        <f>F141 * G141 * 629.589955</f>
        <v>3651.6217390000002</v>
      </c>
      <c r="I141" s="35">
        <f>F141 * G141 * 0</f>
        <v>0</v>
      </c>
      <c r="J141" s="35">
        <f>F141 * G141 * 0</f>
        <v>0</v>
      </c>
      <c r="K141" s="35">
        <f>F141 * G141 * 599.369637</f>
        <v>3476.3438946000001</v>
      </c>
      <c r="L141" s="35">
        <f>F141 * G141 * 129.040757</f>
        <v>748.4363906000001</v>
      </c>
      <c r="M141" s="35">
        <f>F141 * G141 * 125.917991</f>
        <v>730.32434779999994</v>
      </c>
      <c r="N141" s="36">
        <f>SUM(H141:M141)</f>
        <v>8606.726372000001</v>
      </c>
      <c r="O141" s="71">
        <f t="shared" si="42"/>
        <v>10539.926216046782</v>
      </c>
      <c r="P141" s="37">
        <f t="shared" si="43"/>
        <v>7.099314457408383E-2</v>
      </c>
    </row>
    <row r="142" spans="2:16" x14ac:dyDescent="0.25">
      <c r="B142" s="30">
        <v>79</v>
      </c>
      <c r="C142" s="31" t="s">
        <v>338</v>
      </c>
      <c r="D142" s="32" t="s">
        <v>339</v>
      </c>
      <c r="E142" s="32" t="s">
        <v>340</v>
      </c>
      <c r="F142" s="33">
        <v>2</v>
      </c>
      <c r="G142" s="34">
        <v>2</v>
      </c>
      <c r="H142" s="35">
        <f>F142 * G142 * 312.416444</f>
        <v>1249.6657760000001</v>
      </c>
      <c r="I142" s="35">
        <f>F142 * G142 * 0</f>
        <v>0</v>
      </c>
      <c r="J142" s="35">
        <f>F142 * G142 * 0</f>
        <v>0</v>
      </c>
      <c r="K142" s="35">
        <f>F142 * G142 * 297.420455</f>
        <v>1189.68182</v>
      </c>
      <c r="L142" s="35">
        <f>F142 * G142 * 64.032874</f>
        <v>256.13149600000003</v>
      </c>
      <c r="M142" s="35">
        <f>F142 * G142 * 62.483289</f>
        <v>249.933156</v>
      </c>
      <c r="N142" s="36">
        <f>SUM(H142:M142)</f>
        <v>2945.4122480000001</v>
      </c>
      <c r="O142" s="71">
        <f t="shared" si="42"/>
        <v>3606.9960200845208</v>
      </c>
      <c r="P142" s="37">
        <f t="shared" si="43"/>
        <v>2.4295425288854675E-2</v>
      </c>
    </row>
    <row r="143" spans="2:16" x14ac:dyDescent="0.25">
      <c r="B143" s="30">
        <v>80</v>
      </c>
      <c r="C143" s="31" t="s">
        <v>341</v>
      </c>
      <c r="D143" s="32" t="s">
        <v>342</v>
      </c>
      <c r="E143" s="32" t="s">
        <v>335</v>
      </c>
      <c r="F143" s="33">
        <v>1.3</v>
      </c>
      <c r="G143" s="34">
        <v>2</v>
      </c>
      <c r="H143" s="35">
        <f>F143 * G143 * 912.1648</f>
        <v>2371.6284800000003</v>
      </c>
      <c r="I143" s="35">
        <f>F143 * G143 * 0</f>
        <v>0</v>
      </c>
      <c r="J143" s="35">
        <f>F143 * G143 * 0</f>
        <v>0</v>
      </c>
      <c r="K143" s="35">
        <f>F143 * G143 * 868.380889999999</f>
        <v>2257.7903139999976</v>
      </c>
      <c r="L143" s="35">
        <f>F143 * G143 * 186.957296999999</f>
        <v>486.08897219999739</v>
      </c>
      <c r="M143" s="35">
        <f>F143 * G143 * 182.43296</f>
        <v>474.32569600000005</v>
      </c>
      <c r="N143" s="36">
        <f>SUM(H143:M143)</f>
        <v>5589.8334621999948</v>
      </c>
      <c r="O143" s="71">
        <f t="shared" si="42"/>
        <v>6845.3939053120475</v>
      </c>
      <c r="P143" s="37">
        <f t="shared" si="43"/>
        <v>4.6108106378058296E-2</v>
      </c>
    </row>
    <row r="144" spans="2:16" x14ac:dyDescent="0.25">
      <c r="B144" s="30">
        <v>81</v>
      </c>
      <c r="C144" s="31" t="s">
        <v>343</v>
      </c>
      <c r="D144" s="32" t="s">
        <v>344</v>
      </c>
      <c r="E144" s="32" t="s">
        <v>335</v>
      </c>
      <c r="F144" s="33">
        <v>0.4</v>
      </c>
      <c r="G144" s="34">
        <v>2</v>
      </c>
      <c r="H144" s="35">
        <f>F144 * G144 * 684.1236</f>
        <v>547.29888000000005</v>
      </c>
      <c r="I144" s="35">
        <f>F144 * G144 * 0</f>
        <v>0</v>
      </c>
      <c r="J144" s="35">
        <f>F144 * G144 * 0</f>
        <v>0</v>
      </c>
      <c r="K144" s="35">
        <f>F144 * G144 * 651.285667</f>
        <v>521.02853360000006</v>
      </c>
      <c r="L144" s="35">
        <f>F144 * G144 * 140.217973</f>
        <v>112.17437840000001</v>
      </c>
      <c r="M144" s="35">
        <f>F144 * G144 * 136.82472</f>
        <v>109.45977600000002</v>
      </c>
      <c r="N144" s="36">
        <f>SUM(H144:M144)</f>
        <v>1289.9615679999999</v>
      </c>
      <c r="O144" s="71">
        <f t="shared" si="42"/>
        <v>1579.7062855963204</v>
      </c>
      <c r="P144" s="37">
        <f t="shared" si="43"/>
        <v>1.0640332239440676E-2</v>
      </c>
    </row>
    <row r="145" spans="2:16" x14ac:dyDescent="0.25">
      <c r="B145" s="38"/>
      <c r="C145" s="39" t="s">
        <v>345</v>
      </c>
      <c r="D145" s="40" t="s">
        <v>346</v>
      </c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2:16" x14ac:dyDescent="0.25">
      <c r="B146" s="30">
        <v>82</v>
      </c>
      <c r="C146" s="31" t="s">
        <v>347</v>
      </c>
      <c r="D146" s="32" t="s">
        <v>348</v>
      </c>
      <c r="E146" s="32" t="s">
        <v>349</v>
      </c>
      <c r="F146" s="33">
        <v>1.7410000000000001</v>
      </c>
      <c r="G146" s="34">
        <v>2</v>
      </c>
      <c r="H146" s="35">
        <f>F146 * G146 * 684.1236</f>
        <v>2382.1183752000002</v>
      </c>
      <c r="I146" s="35">
        <f>F146 * G146 * 0</f>
        <v>0</v>
      </c>
      <c r="J146" s="35">
        <f>F146 * G146 * 0</f>
        <v>0</v>
      </c>
      <c r="K146" s="35">
        <f>F146 * G146 * 651.285667</f>
        <v>2267.7766924940001</v>
      </c>
      <c r="L146" s="35">
        <f>F146 * G146 * 140.217973</f>
        <v>488.23898198600006</v>
      </c>
      <c r="M146" s="35">
        <f>F146 * G146 * 136.82472</f>
        <v>476.42367504000009</v>
      </c>
      <c r="N146" s="36">
        <f>SUM(H146:M146)</f>
        <v>5614.5577247200008</v>
      </c>
      <c r="O146" s="71">
        <f>N146*1.07*1.09*1.05</f>
        <v>6875.6716080579854</v>
      </c>
      <c r="P146" s="37">
        <f>IF($P$9&gt;0,O146/$P$9/12,0)</f>
        <v>4.6312046072165547E-2</v>
      </c>
    </row>
    <row r="147" spans="2:16" ht="28.5" x14ac:dyDescent="0.25">
      <c r="B147" s="27"/>
      <c r="C147" s="28" t="s">
        <v>350</v>
      </c>
      <c r="D147" s="29" t="s">
        <v>351</v>
      </c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</row>
    <row r="148" spans="2:16" x14ac:dyDescent="0.25">
      <c r="B148" s="38"/>
      <c r="C148" s="39" t="s">
        <v>352</v>
      </c>
      <c r="D148" s="40" t="s">
        <v>353</v>
      </c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2:16" x14ac:dyDescent="0.25">
      <c r="B149" s="30">
        <v>83</v>
      </c>
      <c r="C149" s="31" t="s">
        <v>354</v>
      </c>
      <c r="D149" s="32" t="s">
        <v>355</v>
      </c>
      <c r="E149" s="32" t="s">
        <v>356</v>
      </c>
      <c r="F149" s="33">
        <v>0.03</v>
      </c>
      <c r="G149" s="34">
        <v>1</v>
      </c>
      <c r="H149" s="35">
        <f>F149 * G149 * 29412.732</f>
        <v>882.38195999999994</v>
      </c>
      <c r="I149" s="35">
        <f>F149 * G149 * 0</f>
        <v>0</v>
      </c>
      <c r="J149" s="35">
        <f>F149 * G149 * 158776.296</f>
        <v>4763.2888800000001</v>
      </c>
      <c r="K149" s="35">
        <f>F149 * G149 * 84666.103435</f>
        <v>2539.98310305</v>
      </c>
      <c r="L149" s="35">
        <f>F149 * G149 * 28649.788801</f>
        <v>859.49366402999988</v>
      </c>
      <c r="M149" s="35">
        <f>F149 * G149 * 17786.99652</f>
        <v>533.60989559999996</v>
      </c>
      <c r="N149" s="36">
        <f>SUM(H149:M149)</f>
        <v>9578.7575026800005</v>
      </c>
      <c r="O149" s="71">
        <f t="shared" ref="O149:O152" si="44">N149*1.07*1.09*1.05</f>
        <v>11730.290119144469</v>
      </c>
      <c r="P149" s="37">
        <f t="shared" ref="P149:P156" si="45">IF($P$9&gt;0,O149/$P$9/12,0)</f>
        <v>7.9011006837647293E-2</v>
      </c>
    </row>
    <row r="150" spans="2:16" x14ac:dyDescent="0.25">
      <c r="B150" s="30">
        <v>84</v>
      </c>
      <c r="C150" s="31" t="s">
        <v>357</v>
      </c>
      <c r="D150" s="32" t="s">
        <v>358</v>
      </c>
      <c r="E150" s="32" t="s">
        <v>356</v>
      </c>
      <c r="F150" s="33">
        <v>0.04</v>
      </c>
      <c r="G150" s="34">
        <v>1</v>
      </c>
      <c r="H150" s="35">
        <f>F150 * G150 * 15245.020875</f>
        <v>609.80083500000001</v>
      </c>
      <c r="I150" s="35">
        <f>F150 * G150 * 0</f>
        <v>0</v>
      </c>
      <c r="J150" s="35">
        <f>F150 * G150 * 0</f>
        <v>0</v>
      </c>
      <c r="K150" s="35">
        <f>F150 * G150 * 14513.259873</f>
        <v>580.53039492000005</v>
      </c>
      <c r="L150" s="35">
        <f>F150 * G150 * 3124.619479</f>
        <v>124.98477916</v>
      </c>
      <c r="M150" s="35">
        <f>F150 * G150 * 3049.004175</f>
        <v>121.960167</v>
      </c>
      <c r="N150" s="36">
        <f>SUM(H150:M150)</f>
        <v>1437.2761760800001</v>
      </c>
      <c r="O150" s="71">
        <f t="shared" si="44"/>
        <v>1760.1099643702096</v>
      </c>
      <c r="P150" s="37">
        <f t="shared" si="45"/>
        <v>1.1855466405123192E-2</v>
      </c>
    </row>
    <row r="151" spans="2:16" x14ac:dyDescent="0.25">
      <c r="B151" s="30">
        <v>85</v>
      </c>
      <c r="C151" s="31" t="s">
        <v>359</v>
      </c>
      <c r="D151" s="32" t="s">
        <v>360</v>
      </c>
      <c r="E151" s="32" t="s">
        <v>361</v>
      </c>
      <c r="F151" s="33">
        <v>1E-3</v>
      </c>
      <c r="G151" s="34">
        <v>1</v>
      </c>
      <c r="H151" s="35">
        <f>F151 * G151 * 35393.085</f>
        <v>35.393084999999999</v>
      </c>
      <c r="I151" s="35">
        <f>F151 * G151 * 0</f>
        <v>0</v>
      </c>
      <c r="J151" s="35">
        <f>F151 * G151 * 0</f>
        <v>0</v>
      </c>
      <c r="K151" s="35">
        <f>F151 * G151 * 33694.21692</f>
        <v>33.694216920000002</v>
      </c>
      <c r="L151" s="35">
        <f>F151 * G151 * 7254.166702</f>
        <v>7.2541667020000009</v>
      </c>
      <c r="M151" s="35">
        <f>F151 * G151 * 7078.617</f>
        <v>7.0786170000000004</v>
      </c>
      <c r="N151" s="36">
        <f>SUM(H151:M151)</f>
        <v>83.420085622000002</v>
      </c>
      <c r="O151" s="71">
        <f t="shared" si="44"/>
        <v>102.15748815398557</v>
      </c>
      <c r="P151" s="37">
        <f t="shared" si="45"/>
        <v>6.8809602431556174E-4</v>
      </c>
    </row>
    <row r="152" spans="2:16" x14ac:dyDescent="0.25">
      <c r="B152" s="30">
        <v>86</v>
      </c>
      <c r="C152" s="31" t="s">
        <v>362</v>
      </c>
      <c r="D152" s="32" t="s">
        <v>363</v>
      </c>
      <c r="E152" s="32" t="s">
        <v>356</v>
      </c>
      <c r="F152" s="33">
        <v>0.01</v>
      </c>
      <c r="G152" s="34">
        <v>1</v>
      </c>
      <c r="H152" s="35">
        <f>F152 * G152 * 14951.4721</f>
        <v>149.51472100000001</v>
      </c>
      <c r="I152" s="35">
        <f>F152 * G152 * 0</f>
        <v>0</v>
      </c>
      <c r="J152" s="35">
        <f>F152 * G152 * 0</f>
        <v>0</v>
      </c>
      <c r="K152" s="35">
        <f>F152 * G152 * 14233.8014389999</f>
        <v>142.33801438999902</v>
      </c>
      <c r="L152" s="35">
        <f>F152 * G152 * 3064.45372199999</f>
        <v>30.644537219999904</v>
      </c>
      <c r="M152" s="35">
        <f>F152 * G152 * 2990.29442</f>
        <v>29.902944200000004</v>
      </c>
      <c r="N152" s="36">
        <f>SUM(H152:M152)</f>
        <v>352.40021680999888</v>
      </c>
      <c r="O152" s="71">
        <f t="shared" si="44"/>
        <v>431.55459150877687</v>
      </c>
      <c r="P152" s="37">
        <f t="shared" si="45"/>
        <v>2.9067962031790657E-3</v>
      </c>
    </row>
    <row r="153" spans="2:16" x14ac:dyDescent="0.25">
      <c r="B153" s="38"/>
      <c r="C153" s="39" t="s">
        <v>364</v>
      </c>
      <c r="D153" s="40" t="s">
        <v>365</v>
      </c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2:16" ht="30" x14ac:dyDescent="0.25">
      <c r="B154" s="30">
        <v>87</v>
      </c>
      <c r="C154" s="31" t="s">
        <v>366</v>
      </c>
      <c r="D154" s="76" t="s">
        <v>367</v>
      </c>
      <c r="E154" s="76" t="s">
        <v>368</v>
      </c>
      <c r="F154" s="77">
        <f>1740.5/100</f>
        <v>17.405000000000001</v>
      </c>
      <c r="G154" s="77">
        <v>2</v>
      </c>
      <c r="H154" s="78">
        <f>F154 * G154 * 664.69494</f>
        <v>23138.030861400002</v>
      </c>
      <c r="I154" s="78">
        <f>F154 * G154 * 0</f>
        <v>0</v>
      </c>
      <c r="J154" s="78">
        <f>F154 * G154 * 0</f>
        <v>0</v>
      </c>
      <c r="K154" s="78">
        <f>F154 * G154 * 632.789583</f>
        <v>22027.405384230002</v>
      </c>
      <c r="L154" s="78">
        <f>F154 * G154 * 136.235875</f>
        <v>4742.3708087499999</v>
      </c>
      <c r="M154" s="78">
        <f>F154 * G154 * 132.938988</f>
        <v>4627.6061722800005</v>
      </c>
      <c r="N154" s="78">
        <f>SUM(H154:M154)</f>
        <v>54535.413226659999</v>
      </c>
      <c r="O154" s="79">
        <f t="shared" ref="O154" si="46">N154*1.07*1.09*1.05</f>
        <v>66784.885068566247</v>
      </c>
      <c r="P154" s="80">
        <f t="shared" si="45"/>
        <v>0.44983891764041278</v>
      </c>
    </row>
    <row r="155" spans="2:16" x14ac:dyDescent="0.25">
      <c r="B155" s="27"/>
      <c r="C155" s="28"/>
      <c r="D155" s="29" t="s">
        <v>369</v>
      </c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</row>
    <row r="156" spans="2:16" x14ac:dyDescent="0.25">
      <c r="B156" s="30">
        <v>88</v>
      </c>
      <c r="C156" s="31"/>
      <c r="D156" s="32" t="s">
        <v>370</v>
      </c>
      <c r="E156" s="32" t="s">
        <v>371</v>
      </c>
      <c r="F156" s="42">
        <f>(4.8*4.8+2.2*4.8)*2+(2.2*2.5+1.35*2.25+1*2.2+2.2*3.1+1.15*9.7)*3*10</f>
        <v>928.57499999999993</v>
      </c>
      <c r="G156" s="34">
        <v>0.2</v>
      </c>
      <c r="H156" s="35">
        <f>3500*F156*G156</f>
        <v>650002.5</v>
      </c>
      <c r="I156" s="35"/>
      <c r="J156" s="35"/>
      <c r="K156" s="35"/>
      <c r="L156" s="35"/>
      <c r="M156" s="35"/>
      <c r="N156" s="36">
        <f>SUM(H156:M156)</f>
        <v>650002.5</v>
      </c>
      <c r="O156" s="71">
        <f>N156*1.07*1.09*1.05</f>
        <v>796002.81153750024</v>
      </c>
      <c r="P156" s="37">
        <f t="shared" si="45"/>
        <v>5.3615880721083924</v>
      </c>
    </row>
    <row r="157" spans="2:16" ht="28.5" x14ac:dyDescent="0.25">
      <c r="B157" s="43" t="s">
        <v>372</v>
      </c>
      <c r="C157" s="43"/>
      <c r="D157" s="43"/>
      <c r="E157" s="43"/>
      <c r="F157" s="43"/>
      <c r="G157" s="43"/>
      <c r="H157" s="44">
        <f>SUM(H24:H156)</f>
        <v>718312.847136784</v>
      </c>
      <c r="I157" s="44">
        <f>SUM(I24:I156)</f>
        <v>53891.321542951984</v>
      </c>
      <c r="J157" s="44">
        <f>SUM(J24:J156)</f>
        <v>6205.6376662000002</v>
      </c>
      <c r="K157" s="44">
        <f>SUM(K24:K156)</f>
        <v>66740.589537746986</v>
      </c>
      <c r="L157" s="44">
        <f>SUM(L24:L156)</f>
        <v>20490.529065385996</v>
      </c>
      <c r="M157" s="44">
        <f>SUM(M24:M156)</f>
        <v>14021.132253983998</v>
      </c>
      <c r="N157" s="44">
        <f>SUM(N24:N156)</f>
        <v>879662.05720305303</v>
      </c>
      <c r="O157" s="44">
        <f>SUM(O24:O156)</f>
        <v>1077247.350181717</v>
      </c>
      <c r="P157" s="45">
        <f>SUM(P11:P156)</f>
        <v>7.6581761390023999</v>
      </c>
    </row>
    <row r="158" spans="2:16" x14ac:dyDescent="0.25">
      <c r="B158" s="23" t="s">
        <v>373</v>
      </c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46"/>
      <c r="N158" s="46"/>
      <c r="O158" s="46"/>
      <c r="P158" s="47"/>
    </row>
    <row r="159" spans="2:16" x14ac:dyDescent="0.25"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48"/>
      <c r="N159" s="48"/>
      <c r="O159" s="48"/>
      <c r="P159" s="49"/>
    </row>
    <row r="160" spans="2:16" x14ac:dyDescent="0.25">
      <c r="B160" s="27"/>
      <c r="C160" s="28" t="s">
        <v>20</v>
      </c>
      <c r="D160" s="29" t="s">
        <v>21</v>
      </c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</row>
    <row r="161" spans="2:16" x14ac:dyDescent="0.25">
      <c r="B161" s="38"/>
      <c r="C161" s="39" t="s">
        <v>374</v>
      </c>
      <c r="D161" s="40" t="s">
        <v>375</v>
      </c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2:16" ht="45" x14ac:dyDescent="0.25">
      <c r="B162" s="30">
        <v>89</v>
      </c>
      <c r="C162" s="31" t="s">
        <v>376</v>
      </c>
      <c r="D162" s="32" t="s">
        <v>377</v>
      </c>
      <c r="E162" s="32" t="s">
        <v>378</v>
      </c>
      <c r="F162" s="33">
        <v>1.31</v>
      </c>
      <c r="G162" s="34">
        <v>1</v>
      </c>
      <c r="H162" s="35">
        <f>F162 * G162 * 4048.81</f>
        <v>5303.9411</v>
      </c>
      <c r="I162" s="35">
        <f>F162 * G162 * 13729.122755</f>
        <v>17985.150809050003</v>
      </c>
      <c r="J162" s="35">
        <f>F162 * G162 * 0</f>
        <v>0</v>
      </c>
      <c r="K162" s="35">
        <f>F162 * G162 * 3854.46712</f>
        <v>5049.3519272000003</v>
      </c>
      <c r="L162" s="35">
        <f>F162 * G162 * 2271.40198699999</f>
        <v>2975.5366029699871</v>
      </c>
      <c r="M162" s="35">
        <f>F162 * G162 * 809.762</f>
        <v>1060.7882199999999</v>
      </c>
      <c r="N162" s="36">
        <f>SUM(H162:M162)</f>
        <v>32374.76865921999</v>
      </c>
      <c r="O162" s="71">
        <f t="shared" ref="O162:O164" si="47">N162*1.07*1.09*1.05</f>
        <v>39646.627321610693</v>
      </c>
      <c r="P162" s="37">
        <f t="shared" ref="P162:P164" si="48">IF($P$9&gt;0,O162/$P$9/12,0)</f>
        <v>0.26704539364162821</v>
      </c>
    </row>
    <row r="163" spans="2:16" x14ac:dyDescent="0.25">
      <c r="B163" s="30">
        <v>90</v>
      </c>
      <c r="C163" s="31" t="s">
        <v>379</v>
      </c>
      <c r="D163" s="32" t="s">
        <v>380</v>
      </c>
      <c r="E163" s="32" t="s">
        <v>36</v>
      </c>
      <c r="F163" s="33">
        <v>0.12</v>
      </c>
      <c r="G163" s="34">
        <v>1</v>
      </c>
      <c r="H163" s="35">
        <f>F163 * G163 * 7246.68516</f>
        <v>869.60221919999992</v>
      </c>
      <c r="I163" s="35">
        <f>F163 * G163 * 4305.528</f>
        <v>516.66336000000001</v>
      </c>
      <c r="J163" s="35">
        <f>F163 * G163 * 0</f>
        <v>0</v>
      </c>
      <c r="K163" s="35">
        <f>F163 * G163 * 6898.844272</f>
        <v>827.86131264000005</v>
      </c>
      <c r="L163" s="35">
        <f>F163 * G163 * 1937.36103</f>
        <v>232.48332360000001</v>
      </c>
      <c r="M163" s="35">
        <f>F163 * G163 * 1449.337032</f>
        <v>173.92044383999999</v>
      </c>
      <c r="N163" s="36">
        <f>SUM(H163:M163)</f>
        <v>2620.5306592800002</v>
      </c>
      <c r="O163" s="71">
        <f t="shared" si="47"/>
        <v>3209.1411533141782</v>
      </c>
      <c r="P163" s="37">
        <f t="shared" si="48"/>
        <v>2.1615618286683496E-2</v>
      </c>
    </row>
    <row r="164" spans="2:16" ht="45" x14ac:dyDescent="0.25">
      <c r="B164" s="30">
        <v>91</v>
      </c>
      <c r="C164" s="31" t="s">
        <v>381</v>
      </c>
      <c r="D164" s="32" t="s">
        <v>382</v>
      </c>
      <c r="E164" s="32" t="s">
        <v>383</v>
      </c>
      <c r="F164" s="33">
        <v>1.31</v>
      </c>
      <c r="G164" s="34">
        <v>1</v>
      </c>
      <c r="H164" s="35">
        <f>F164 * G164 * 5061.0125</f>
        <v>6629.926375</v>
      </c>
      <c r="I164" s="35">
        <f>F164 * G164 * 21610.5761</f>
        <v>28309.854691</v>
      </c>
      <c r="J164" s="35">
        <f>F164 * G164 * 0</f>
        <v>0</v>
      </c>
      <c r="K164" s="35">
        <f>F164 * G164 * 4818.0839</f>
        <v>6311.6899089999997</v>
      </c>
      <c r="L164" s="35">
        <f>F164 * G164 * 3306.415612</f>
        <v>4331.40445172</v>
      </c>
      <c r="M164" s="35">
        <f>F164 * G164 * 1012.2025</f>
        <v>1325.985275</v>
      </c>
      <c r="N164" s="36">
        <f>SUM(H164:M164)</f>
        <v>46908.860701720005</v>
      </c>
      <c r="O164" s="71">
        <f t="shared" si="47"/>
        <v>57445.294448236855</v>
      </c>
      <c r="P164" s="37">
        <f t="shared" si="48"/>
        <v>0.38693080105774369</v>
      </c>
    </row>
    <row r="165" spans="2:16" x14ac:dyDescent="0.25">
      <c r="B165" s="27"/>
      <c r="C165" s="28" t="s">
        <v>384</v>
      </c>
      <c r="D165" s="29" t="s">
        <v>385</v>
      </c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</row>
    <row r="166" spans="2:16" x14ac:dyDescent="0.25">
      <c r="B166" s="38"/>
      <c r="C166" s="39" t="s">
        <v>386</v>
      </c>
      <c r="D166" s="40" t="s">
        <v>387</v>
      </c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2:16" ht="30" x14ac:dyDescent="0.25">
      <c r="B167" s="30">
        <v>92</v>
      </c>
      <c r="C167" s="31" t="s">
        <v>388</v>
      </c>
      <c r="D167" s="32" t="s">
        <v>389</v>
      </c>
      <c r="E167" s="32" t="s">
        <v>390</v>
      </c>
      <c r="F167" s="33">
        <v>1</v>
      </c>
      <c r="G167" s="34">
        <v>1</v>
      </c>
      <c r="H167" s="35">
        <f>F167 * G167 * 89.07382</f>
        <v>89.073819999999998</v>
      </c>
      <c r="I167" s="35">
        <f>F167 * G167 * 176.69628</f>
        <v>176.69628</v>
      </c>
      <c r="J167" s="35">
        <f>F167 * G167 * 0</f>
        <v>0</v>
      </c>
      <c r="K167" s="35">
        <f>F167 * G167 * 84.798277</f>
        <v>84.798276999999999</v>
      </c>
      <c r="L167" s="35">
        <f>F167 * G167 * 36.80968</f>
        <v>36.80968</v>
      </c>
      <c r="M167" s="35">
        <f>F167 * G167 * 17.814764</f>
        <v>17.814764</v>
      </c>
      <c r="N167" s="36">
        <f>SUM(H167:M167)</f>
        <v>405.19282100000004</v>
      </c>
      <c r="O167" s="71">
        <f t="shared" ref="O167:O171" si="49">N167*1.07*1.09*1.05</f>
        <v>496.20520648891517</v>
      </c>
      <c r="P167" s="37">
        <f t="shared" ref="P167:P171" si="50">IF($P$9&gt;0,O167/$P$9/12,0)</f>
        <v>3.3422594466598985E-3</v>
      </c>
    </row>
    <row r="168" spans="2:16" x14ac:dyDescent="0.25">
      <c r="B168" s="30">
        <v>93</v>
      </c>
      <c r="C168" s="31" t="s">
        <v>391</v>
      </c>
      <c r="D168" s="32" t="s">
        <v>392</v>
      </c>
      <c r="E168" s="32" t="s">
        <v>393</v>
      </c>
      <c r="F168" s="33">
        <v>3</v>
      </c>
      <c r="G168" s="34">
        <v>0.5</v>
      </c>
      <c r="H168" s="35">
        <f>F168 * G168 * 241.723672</f>
        <v>362.585508</v>
      </c>
      <c r="I168" s="35">
        <f>F168 * G168 * 1593.4248</f>
        <v>2390.1372000000001</v>
      </c>
      <c r="J168" s="35">
        <f>F168 * G168 * 0</f>
        <v>0</v>
      </c>
      <c r="K168" s="35">
        <f>F168 * G168 * 230.120936</f>
        <v>345.18140399999999</v>
      </c>
      <c r="L168" s="35">
        <f>F168 * G168 * 216.853288</f>
        <v>325.27993199999997</v>
      </c>
      <c r="M168" s="35">
        <f>F168 * G168 * 48.344734</f>
        <v>72.517100999999997</v>
      </c>
      <c r="N168" s="36">
        <f>SUM(H168:M168)</f>
        <v>3495.701145</v>
      </c>
      <c r="O168" s="71">
        <f t="shared" si="49"/>
        <v>4280.8880576841757</v>
      </c>
      <c r="P168" s="37">
        <f t="shared" si="50"/>
        <v>2.8834519194445629E-2</v>
      </c>
    </row>
    <row r="169" spans="2:16" x14ac:dyDescent="0.25">
      <c r="B169" s="30">
        <v>94</v>
      </c>
      <c r="C169" s="31" t="s">
        <v>394</v>
      </c>
      <c r="D169" s="32" t="s">
        <v>395</v>
      </c>
      <c r="E169" s="32" t="s">
        <v>396</v>
      </c>
      <c r="F169" s="33">
        <v>1</v>
      </c>
      <c r="G169" s="34">
        <v>0.5</v>
      </c>
      <c r="H169" s="35">
        <f>F169 * G169 * 89.07382</f>
        <v>44.536909999999999</v>
      </c>
      <c r="I169" s="35">
        <f>F169 * G169 * 133.00488</f>
        <v>66.502440000000007</v>
      </c>
      <c r="J169" s="35">
        <f>F169 * G169 * 0</f>
        <v>0</v>
      </c>
      <c r="K169" s="35">
        <f>F169 * G169 * 84.798277</f>
        <v>42.399138499999999</v>
      </c>
      <c r="L169" s="35">
        <f>F169 * G169 * 32.222083</f>
        <v>16.111041499999999</v>
      </c>
      <c r="M169" s="35">
        <f>F169 * G169 * 17.814764</f>
        <v>8.9073820000000001</v>
      </c>
      <c r="N169" s="36">
        <f>SUM(H169:M169)</f>
        <v>178.45691200000002</v>
      </c>
      <c r="O169" s="71">
        <f t="shared" si="49"/>
        <v>218.54101128888004</v>
      </c>
      <c r="P169" s="37">
        <f t="shared" si="50"/>
        <v>1.4720134934319434E-3</v>
      </c>
    </row>
    <row r="170" spans="2:16" x14ac:dyDescent="0.25">
      <c r="B170" s="30">
        <v>95</v>
      </c>
      <c r="C170" s="31" t="s">
        <v>397</v>
      </c>
      <c r="D170" s="32" t="s">
        <v>398</v>
      </c>
      <c r="E170" s="32" t="s">
        <v>399</v>
      </c>
      <c r="F170" s="33">
        <v>2</v>
      </c>
      <c r="G170" s="34">
        <v>1</v>
      </c>
      <c r="H170" s="35">
        <f>F170 * G170 * 141.70835</f>
        <v>283.41669999999999</v>
      </c>
      <c r="I170" s="35">
        <f>F170 * G170 * 46.901632</f>
        <v>93.803263999999999</v>
      </c>
      <c r="J170" s="35">
        <f>F170 * G170 * 0</f>
        <v>0</v>
      </c>
      <c r="K170" s="35">
        <f>F170 * G170 * 134.90635</f>
        <v>269.81270000000001</v>
      </c>
      <c r="L170" s="35">
        <f>F170 * G170 * 33.969215</f>
        <v>67.938429999999997</v>
      </c>
      <c r="M170" s="35">
        <f>F170 * G170 * 28.34167</f>
        <v>56.683340000000001</v>
      </c>
      <c r="N170" s="36">
        <f>SUM(H170:M170)</f>
        <v>771.65443400000015</v>
      </c>
      <c r="O170" s="71">
        <f t="shared" si="49"/>
        <v>944.97959469291038</v>
      </c>
      <c r="P170" s="37">
        <f t="shared" si="50"/>
        <v>6.365041994644563E-3</v>
      </c>
    </row>
    <row r="171" spans="2:16" x14ac:dyDescent="0.25">
      <c r="B171" s="30">
        <v>96</v>
      </c>
      <c r="C171" s="31" t="s">
        <v>400</v>
      </c>
      <c r="D171" s="32" t="s">
        <v>401</v>
      </c>
      <c r="E171" s="32" t="s">
        <v>402</v>
      </c>
      <c r="F171" s="33">
        <v>1</v>
      </c>
      <c r="G171" s="34">
        <v>0.3</v>
      </c>
      <c r="H171" s="35">
        <f>F171 * G171 * 693.245248</f>
        <v>207.97357439999999</v>
      </c>
      <c r="I171" s="35">
        <f>F171 * G171 * 31129.217657</f>
        <v>9338.7652971000007</v>
      </c>
      <c r="J171" s="35">
        <f>F171 * G171 * 0</f>
        <v>0</v>
      </c>
      <c r="K171" s="35">
        <f>F171 * G171 * 659.969476</f>
        <v>197.9908428</v>
      </c>
      <c r="L171" s="35">
        <f>F171 * G171 * 3410.6554</f>
        <v>1023.1966199999999</v>
      </c>
      <c r="M171" s="35">
        <f>F171 * G171 * 138.64905</f>
        <v>41.594714999999994</v>
      </c>
      <c r="N171" s="36">
        <f>SUM(H171:M171)</f>
        <v>10809.521049300001</v>
      </c>
      <c r="O171" s="71">
        <f t="shared" si="49"/>
        <v>13237.501619788523</v>
      </c>
      <c r="P171" s="37">
        <f t="shared" si="50"/>
        <v>8.9163040331585605E-2</v>
      </c>
    </row>
    <row r="172" spans="2:16" x14ac:dyDescent="0.25">
      <c r="B172" s="38"/>
      <c r="C172" s="39" t="s">
        <v>403</v>
      </c>
      <c r="D172" s="40" t="s">
        <v>404</v>
      </c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2:16" x14ac:dyDescent="0.25">
      <c r="B173" s="30">
        <v>97</v>
      </c>
      <c r="C173" s="31" t="s">
        <v>405</v>
      </c>
      <c r="D173" s="32" t="s">
        <v>406</v>
      </c>
      <c r="E173" s="32" t="s">
        <v>407</v>
      </c>
      <c r="F173" s="33">
        <v>5</v>
      </c>
      <c r="G173" s="34">
        <v>1</v>
      </c>
      <c r="H173" s="35">
        <f>F173 * G173 * 241.723672</f>
        <v>1208.6183599999999</v>
      </c>
      <c r="I173" s="35">
        <f>F173 * G173 * 1593.4248</f>
        <v>7967.1239999999998</v>
      </c>
      <c r="J173" s="35">
        <f>F173 * G173 * 0</f>
        <v>0</v>
      </c>
      <c r="K173" s="35">
        <f>F173 * G173 * 230.120936</f>
        <v>1150.6046799999999</v>
      </c>
      <c r="L173" s="35">
        <f>F173 * G173 * 216.853288</f>
        <v>1084.2664399999999</v>
      </c>
      <c r="M173" s="35">
        <f>F173 * G173 * 48.344734</f>
        <v>241.72367000000003</v>
      </c>
      <c r="N173" s="36">
        <f>SUM(H173:M173)</f>
        <v>11652.337149999999</v>
      </c>
      <c r="O173" s="71">
        <f>N173*1.07*1.09*1.05</f>
        <v>14269.626858947251</v>
      </c>
      <c r="P173" s="37">
        <f t="shared" ref="P173" si="51">IF($P$9&gt;0,O173/$P$9/12,0)</f>
        <v>9.6115063981485407E-2</v>
      </c>
    </row>
    <row r="174" spans="2:16" x14ac:dyDescent="0.25">
      <c r="B174" s="38"/>
      <c r="C174" s="39" t="s">
        <v>408</v>
      </c>
      <c r="D174" s="40" t="s">
        <v>409</v>
      </c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2:16" x14ac:dyDescent="0.25">
      <c r="B175" s="30">
        <v>98</v>
      </c>
      <c r="C175" s="31" t="s">
        <v>410</v>
      </c>
      <c r="D175" s="32" t="s">
        <v>411</v>
      </c>
      <c r="E175" s="32" t="s">
        <v>412</v>
      </c>
      <c r="F175" s="33">
        <v>9</v>
      </c>
      <c r="G175" s="34">
        <v>1</v>
      </c>
      <c r="H175" s="35">
        <f>F175 * G175 * 275.929852</f>
        <v>2483.3686680000001</v>
      </c>
      <c r="I175" s="35">
        <f>F175 * G175 * 25.464927</f>
        <v>229.18434299999998</v>
      </c>
      <c r="J175" s="35">
        <f>F175 * G175 * 0</f>
        <v>0</v>
      </c>
      <c r="K175" s="35">
        <f>F175 * G175 * 262.685218999999</f>
        <v>2364.166970999991</v>
      </c>
      <c r="L175" s="35">
        <f>F175 * G175 * 59.2284</f>
        <v>533.05560000000003</v>
      </c>
      <c r="M175" s="35">
        <f>F175 * G175 * 55.18597</f>
        <v>496.67372999999998</v>
      </c>
      <c r="N175" s="36">
        <f>SUM(H175:M175)</f>
        <v>6106.4493119999916</v>
      </c>
      <c r="O175" s="71">
        <f>N175*1.07*1.09*1.05</f>
        <v>7478.0494242148716</v>
      </c>
      <c r="P175" s="37">
        <f t="shared" ref="P175" si="52">IF($P$9&gt;0,O175/$P$9/12,0)</f>
        <v>5.0369445954675018E-2</v>
      </c>
    </row>
    <row r="176" spans="2:16" x14ac:dyDescent="0.25">
      <c r="B176" s="38"/>
      <c r="C176" s="39" t="s">
        <v>413</v>
      </c>
      <c r="D176" s="40" t="s">
        <v>414</v>
      </c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2:16" ht="45" x14ac:dyDescent="0.25">
      <c r="B177" s="30">
        <v>99</v>
      </c>
      <c r="C177" s="31" t="s">
        <v>415</v>
      </c>
      <c r="D177" s="32" t="s">
        <v>416</v>
      </c>
      <c r="E177" s="32" t="s">
        <v>417</v>
      </c>
      <c r="F177" s="33"/>
      <c r="G177" s="34">
        <v>1</v>
      </c>
      <c r="H177" s="35">
        <f>F177 * G177 * 119.439895</f>
        <v>0</v>
      </c>
      <c r="I177" s="35">
        <f>F177 * G177 * 7946.22132</f>
        <v>0</v>
      </c>
      <c r="J177" s="35">
        <f>F177 * G177 * 0</f>
        <v>0</v>
      </c>
      <c r="K177" s="35">
        <f>F177 * G177 * 113.70678</f>
        <v>0</v>
      </c>
      <c r="L177" s="35">
        <f>F177 * G177 * 858.83364</f>
        <v>0</v>
      </c>
      <c r="M177" s="35">
        <f>F177 * G177 * 23.887979</f>
        <v>0</v>
      </c>
      <c r="N177" s="36">
        <f>SUM(H177:M177)</f>
        <v>0</v>
      </c>
      <c r="O177" s="71">
        <f t="shared" ref="O177:O178" si="53">N177*1.07*1.09*1.05</f>
        <v>0</v>
      </c>
      <c r="P177" s="37">
        <f t="shared" ref="P177:P178" si="54">IF($P$9&gt;0,O177/$P$9/12,0)</f>
        <v>0</v>
      </c>
    </row>
    <row r="178" spans="2:16" x14ac:dyDescent="0.25">
      <c r="B178" s="30">
        <v>100</v>
      </c>
      <c r="C178" s="31" t="s">
        <v>418</v>
      </c>
      <c r="D178" s="32" t="s">
        <v>419</v>
      </c>
      <c r="E178" s="32" t="s">
        <v>420</v>
      </c>
      <c r="F178" s="33">
        <v>0.03</v>
      </c>
      <c r="G178" s="34">
        <v>1</v>
      </c>
      <c r="H178" s="35">
        <f>F178 * G178 * 2429.286</f>
        <v>72.878579999999999</v>
      </c>
      <c r="I178" s="35">
        <f>F178 * G178 * 0</f>
        <v>0</v>
      </c>
      <c r="J178" s="35">
        <f>F178 * G178 * 0</f>
        <v>0</v>
      </c>
      <c r="K178" s="35">
        <f>F178 * G178 * 2312.680272</f>
        <v>69.380408160000002</v>
      </c>
      <c r="L178" s="35">
        <f>F178 * G178 * 497.906458</f>
        <v>14.93719374</v>
      </c>
      <c r="M178" s="35">
        <f>F178 * G178 * 485.8572</f>
        <v>14.575715999999998</v>
      </c>
      <c r="N178" s="36">
        <f>SUM(H178:M178)</f>
        <v>171.7718979</v>
      </c>
      <c r="O178" s="71">
        <f t="shared" si="53"/>
        <v>210.35444274680853</v>
      </c>
      <c r="P178" s="37">
        <f t="shared" si="54"/>
        <v>1.4168717180381004E-3</v>
      </c>
    </row>
    <row r="179" spans="2:16" x14ac:dyDescent="0.25">
      <c r="B179" s="38"/>
      <c r="C179" s="39" t="s">
        <v>421</v>
      </c>
      <c r="D179" s="40" t="s">
        <v>422</v>
      </c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2:16" x14ac:dyDescent="0.25">
      <c r="B180" s="30">
        <v>101</v>
      </c>
      <c r="C180" s="31" t="s">
        <v>423</v>
      </c>
      <c r="D180" s="32" t="s">
        <v>424</v>
      </c>
      <c r="E180" s="32" t="s">
        <v>425</v>
      </c>
      <c r="F180" s="33">
        <v>6</v>
      </c>
      <c r="G180" s="34">
        <v>1</v>
      </c>
      <c r="H180" s="35">
        <f>F180 * G180 * 38.463695</f>
        <v>230.78217000000001</v>
      </c>
      <c r="I180" s="35">
        <f>F180 * G180 * 43.25616</f>
        <v>259.53696000000002</v>
      </c>
      <c r="J180" s="35">
        <f t="shared" ref="J180:J186" si="55">F180 * G180 * 0</f>
        <v>0</v>
      </c>
      <c r="K180" s="35">
        <f>F180 * G180 * 36.617438</f>
        <v>219.70462800000001</v>
      </c>
      <c r="L180" s="35">
        <f>F180 * G180 * 12.425415</f>
        <v>74.552489999999992</v>
      </c>
      <c r="M180" s="35">
        <f>F180 * G180 * 7.692739</f>
        <v>46.156434000000004</v>
      </c>
      <c r="N180" s="36">
        <f t="shared" ref="N180:N186" si="56">SUM(H180:M180)</f>
        <v>830.73268200000007</v>
      </c>
      <c r="O180" s="71">
        <f t="shared" ref="O180:O186" si="57">N180*1.07*1.09*1.05</f>
        <v>1017.3277033674302</v>
      </c>
      <c r="P180" s="37">
        <f t="shared" ref="P180:P186" si="58">IF($P$9&gt;0,O180/$P$9/12,0)</f>
        <v>6.8523527815997831E-3</v>
      </c>
    </row>
    <row r="181" spans="2:16" ht="30" x14ac:dyDescent="0.25">
      <c r="B181" s="30">
        <v>102</v>
      </c>
      <c r="C181" s="31" t="s">
        <v>426</v>
      </c>
      <c r="D181" s="32" t="s">
        <v>427</v>
      </c>
      <c r="E181" s="32" t="s">
        <v>428</v>
      </c>
      <c r="F181" s="33">
        <v>3</v>
      </c>
      <c r="G181" s="34">
        <v>1</v>
      </c>
      <c r="H181" s="35">
        <f>F181 * G181 * 203.184709</f>
        <v>609.55412699999999</v>
      </c>
      <c r="I181" s="35">
        <f>F181 * G181 * 429.856304</f>
        <v>1289.5689120000002</v>
      </c>
      <c r="J181" s="35">
        <f t="shared" si="55"/>
        <v>0</v>
      </c>
      <c r="K181" s="35">
        <f>F181 * G181 * 193.431843</f>
        <v>580.29552899999999</v>
      </c>
      <c r="L181" s="35">
        <f>F181 * G181 * 86.7796499999999</f>
        <v>260.33894999999973</v>
      </c>
      <c r="M181" s="35">
        <f>F181 * G181 * 40.636942</f>
        <v>121.91082599999999</v>
      </c>
      <c r="N181" s="36">
        <f t="shared" si="56"/>
        <v>2861.6683439999997</v>
      </c>
      <c r="O181" s="71">
        <f t="shared" si="57"/>
        <v>3504.4419790875604</v>
      </c>
      <c r="P181" s="37">
        <f t="shared" si="58"/>
        <v>2.3604658227500002E-2</v>
      </c>
    </row>
    <row r="182" spans="2:16" ht="30" x14ac:dyDescent="0.25">
      <c r="B182" s="30">
        <v>103</v>
      </c>
      <c r="C182" s="31" t="s">
        <v>429</v>
      </c>
      <c r="D182" s="32" t="s">
        <v>430</v>
      </c>
      <c r="E182" s="32" t="s">
        <v>428</v>
      </c>
      <c r="F182" s="33">
        <v>2</v>
      </c>
      <c r="G182" s="34">
        <v>1</v>
      </c>
      <c r="H182" s="35">
        <f>F182 * G182 * 32.39048</f>
        <v>64.780959999999993</v>
      </c>
      <c r="I182" s="35">
        <f>F182 * G182 * 43.05528</f>
        <v>86.110560000000007</v>
      </c>
      <c r="J182" s="35">
        <f t="shared" si="55"/>
        <v>0</v>
      </c>
      <c r="K182" s="35">
        <f>F182 * G182 * 30.835737</f>
        <v>61.671474000000003</v>
      </c>
      <c r="L182" s="35">
        <f>F182 * G182 * 11.159557</f>
        <v>22.319113999999999</v>
      </c>
      <c r="M182" s="35">
        <f>F182 * G182 * 6.478096</f>
        <v>12.956192</v>
      </c>
      <c r="N182" s="36">
        <f t="shared" si="56"/>
        <v>247.8383</v>
      </c>
      <c r="O182" s="71">
        <f t="shared" si="57"/>
        <v>303.5064997545</v>
      </c>
      <c r="P182" s="37">
        <f t="shared" si="58"/>
        <v>2.0443104035624796E-3</v>
      </c>
    </row>
    <row r="183" spans="2:16" x14ac:dyDescent="0.25">
      <c r="B183" s="30">
        <v>104</v>
      </c>
      <c r="C183" s="31" t="s">
        <v>431</v>
      </c>
      <c r="D183" s="32" t="s">
        <v>432</v>
      </c>
      <c r="E183" s="32" t="s">
        <v>433</v>
      </c>
      <c r="F183" s="33">
        <v>13</v>
      </c>
      <c r="G183" s="34">
        <v>1</v>
      </c>
      <c r="H183" s="35">
        <f>F183 * G183 * 19.231848</f>
        <v>250.01402400000001</v>
      </c>
      <c r="I183" s="35">
        <f>F183 * G183 * 138.06036</f>
        <v>1794.78468</v>
      </c>
      <c r="J183" s="35">
        <f t="shared" si="55"/>
        <v>0</v>
      </c>
      <c r="K183" s="35">
        <f>F183 * G183 * 18.308719</f>
        <v>238.01334700000001</v>
      </c>
      <c r="L183" s="35">
        <f>F183 * G183 * 18.438098</f>
        <v>239.69527400000001</v>
      </c>
      <c r="M183" s="35">
        <f>F183 * G183 * 3.84637</f>
        <v>50.002809999999997</v>
      </c>
      <c r="N183" s="36">
        <f t="shared" si="56"/>
        <v>2572.510135</v>
      </c>
      <c r="O183" s="71">
        <f t="shared" si="57"/>
        <v>3150.3344989730253</v>
      </c>
      <c r="P183" s="37">
        <f t="shared" si="58"/>
        <v>2.1219517855998932E-2</v>
      </c>
    </row>
    <row r="184" spans="2:16" x14ac:dyDescent="0.25">
      <c r="B184" s="30">
        <v>105</v>
      </c>
      <c r="C184" s="31" t="s">
        <v>434</v>
      </c>
      <c r="D184" s="32" t="s">
        <v>435</v>
      </c>
      <c r="E184" s="32" t="s">
        <v>428</v>
      </c>
      <c r="F184" s="33">
        <v>1</v>
      </c>
      <c r="G184" s="34">
        <v>1</v>
      </c>
      <c r="H184" s="35">
        <f>F184 * G184 * 372.39128</f>
        <v>372.39127999999999</v>
      </c>
      <c r="I184" s="35">
        <f>F184 * G184 * 1564.302177</f>
        <v>1564.302177</v>
      </c>
      <c r="J184" s="35">
        <f t="shared" si="55"/>
        <v>0</v>
      </c>
      <c r="K184" s="35">
        <f>F184 * G184 * 354.516498999999</f>
        <v>354.51649899999899</v>
      </c>
      <c r="L184" s="35">
        <f>F184 * G184 * 240.577046</f>
        <v>240.577046</v>
      </c>
      <c r="M184" s="35">
        <f>F184 * G184 * 74.478256</f>
        <v>74.478256000000002</v>
      </c>
      <c r="N184" s="36">
        <f t="shared" si="56"/>
        <v>2606.265257999999</v>
      </c>
      <c r="O184" s="71">
        <f t="shared" si="57"/>
        <v>3191.6715289256699</v>
      </c>
      <c r="P184" s="37">
        <f t="shared" si="58"/>
        <v>2.1497949192569712E-2</v>
      </c>
    </row>
    <row r="185" spans="2:16" x14ac:dyDescent="0.25">
      <c r="B185" s="30">
        <v>106</v>
      </c>
      <c r="C185" s="31" t="s">
        <v>436</v>
      </c>
      <c r="D185" s="32" t="s">
        <v>437</v>
      </c>
      <c r="E185" s="32" t="s">
        <v>438</v>
      </c>
      <c r="F185" s="33">
        <v>0.04</v>
      </c>
      <c r="G185" s="34">
        <v>1</v>
      </c>
      <c r="H185" s="35">
        <f>F185 * G185 * 14170.835</f>
        <v>566.83339999999998</v>
      </c>
      <c r="I185" s="35">
        <f>F185 * G185 * 82.747494</f>
        <v>3.3098997600000004</v>
      </c>
      <c r="J185" s="35">
        <f t="shared" si="55"/>
        <v>0</v>
      </c>
      <c r="K185" s="35">
        <f>F185 * G185 * 13490.63492</f>
        <v>539.62539679999998</v>
      </c>
      <c r="L185" s="35">
        <f>F185 * G185 * 2913.142828</f>
        <v>116.52571312000001</v>
      </c>
      <c r="M185" s="35">
        <f>F185 * G185 * 2834.167</f>
        <v>113.36668</v>
      </c>
      <c r="N185" s="36">
        <f t="shared" si="56"/>
        <v>1339.6610896800003</v>
      </c>
      <c r="O185" s="71">
        <f t="shared" si="57"/>
        <v>1640.5690653384738</v>
      </c>
      <c r="P185" s="37">
        <f t="shared" si="58"/>
        <v>1.1050281989832376E-2</v>
      </c>
    </row>
    <row r="186" spans="2:16" x14ac:dyDescent="0.25">
      <c r="B186" s="30">
        <v>107</v>
      </c>
      <c r="C186" s="31" t="s">
        <v>439</v>
      </c>
      <c r="D186" s="32" t="s">
        <v>440</v>
      </c>
      <c r="E186" s="32" t="s">
        <v>36</v>
      </c>
      <c r="F186" s="33">
        <v>0.03</v>
      </c>
      <c r="G186" s="34">
        <v>1</v>
      </c>
      <c r="H186" s="35">
        <f>F186 * G186 * 5181.5723</f>
        <v>155.447169</v>
      </c>
      <c r="I186" s="35">
        <f>F186 * G186 * 1056.852</f>
        <v>31.705560000000002</v>
      </c>
      <c r="J186" s="35">
        <f t="shared" si="55"/>
        <v>0</v>
      </c>
      <c r="K186" s="35">
        <f>F186 * G186 * 4932.85683</f>
        <v>147.98570489999997</v>
      </c>
      <c r="L186" s="35">
        <f>F186 * G186 * 1172.984519</f>
        <v>35.189535570000004</v>
      </c>
      <c r="M186" s="35">
        <f>F186 * G186 * 1036.31446</f>
        <v>31.089433800000002</v>
      </c>
      <c r="N186" s="36">
        <f t="shared" si="56"/>
        <v>401.41740326999997</v>
      </c>
      <c r="O186" s="71">
        <f t="shared" si="57"/>
        <v>491.58177330549114</v>
      </c>
      <c r="P186" s="37">
        <f t="shared" si="58"/>
        <v>3.311117666946136E-3</v>
      </c>
    </row>
    <row r="187" spans="2:16" ht="28.5" x14ac:dyDescent="0.25">
      <c r="B187" s="27"/>
      <c r="C187" s="28" t="s">
        <v>314</v>
      </c>
      <c r="D187" s="29" t="s">
        <v>315</v>
      </c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</row>
    <row r="188" spans="2:16" x14ac:dyDescent="0.25">
      <c r="B188" s="38"/>
      <c r="C188" s="39" t="s">
        <v>441</v>
      </c>
      <c r="D188" s="40" t="s">
        <v>442</v>
      </c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2:16" ht="30" x14ac:dyDescent="0.25">
      <c r="B189" s="30">
        <v>108</v>
      </c>
      <c r="C189" s="31" t="s">
        <v>443</v>
      </c>
      <c r="D189" s="32" t="s">
        <v>444</v>
      </c>
      <c r="E189" s="32" t="s">
        <v>445</v>
      </c>
      <c r="F189" s="33">
        <v>1</v>
      </c>
      <c r="G189" s="34">
        <v>1</v>
      </c>
      <c r="H189" s="35">
        <f>F189 * G189 * 2052.3708</f>
        <v>2052.3708000000001</v>
      </c>
      <c r="I189" s="35">
        <f>F189 * G189 * 0</f>
        <v>0</v>
      </c>
      <c r="J189" s="35">
        <f>F189 * G189 * 0</f>
        <v>0</v>
      </c>
      <c r="K189" s="35">
        <f>F189 * G189 * 1953.85700199999</f>
        <v>1953.85700199999</v>
      </c>
      <c r="L189" s="35">
        <f>F189 * G189 * 420.653919</f>
        <v>420.65391899999997</v>
      </c>
      <c r="M189" s="35">
        <f>F189 * G189 * 410.47416</f>
        <v>410.47415999999998</v>
      </c>
      <c r="N189" s="36">
        <f>SUM(H189:M189)</f>
        <v>4837.3558809999904</v>
      </c>
      <c r="O189" s="71">
        <f t="shared" ref="O189:O192" si="59">N189*1.07*1.09*1.05</f>
        <v>5923.8985722108046</v>
      </c>
      <c r="P189" s="37">
        <f t="shared" ref="P189:P192" si="60">IF($P$9&gt;0,O189/$P$9/12,0)</f>
        <v>3.9901245906151017E-2</v>
      </c>
    </row>
    <row r="190" spans="2:16" x14ac:dyDescent="0.25">
      <c r="B190" s="30">
        <v>109</v>
      </c>
      <c r="C190" s="31" t="s">
        <v>446</v>
      </c>
      <c r="D190" s="32" t="s">
        <v>447</v>
      </c>
      <c r="E190" s="32" t="s">
        <v>201</v>
      </c>
      <c r="F190" s="33">
        <v>2.98</v>
      </c>
      <c r="G190" s="34">
        <v>2</v>
      </c>
      <c r="H190" s="35">
        <f>F190 * G190 * 1012.2025</f>
        <v>6032.7268999999997</v>
      </c>
      <c r="I190" s="35">
        <f>F190 * G190 * 561.33684</f>
        <v>3345.5675664000005</v>
      </c>
      <c r="J190" s="35">
        <f>F190 * G190 * 0</f>
        <v>0</v>
      </c>
      <c r="K190" s="35">
        <f>F190 * G190 * 963.61678</f>
        <v>5743.1560087999997</v>
      </c>
      <c r="L190" s="35">
        <f>F190 * G190 * 266.401393</f>
        <v>1587.7523022799999</v>
      </c>
      <c r="M190" s="35">
        <f>F190 * G190 * 202.4405</f>
        <v>1206.5453799999998</v>
      </c>
      <c r="N190" s="36">
        <f>SUM(H190:M190)</f>
        <v>17915.74815748</v>
      </c>
      <c r="O190" s="71">
        <f t="shared" si="59"/>
        <v>21939.893929872374</v>
      </c>
      <c r="P190" s="37">
        <f t="shared" si="60"/>
        <v>0.14777921873230127</v>
      </c>
    </row>
    <row r="191" spans="2:16" x14ac:dyDescent="0.25">
      <c r="B191" s="30">
        <v>110</v>
      </c>
      <c r="C191" s="31" t="s">
        <v>448</v>
      </c>
      <c r="D191" s="32" t="s">
        <v>449</v>
      </c>
      <c r="E191" s="32" t="s">
        <v>201</v>
      </c>
      <c r="F191" s="33">
        <v>0.83</v>
      </c>
      <c r="G191" s="34">
        <v>2</v>
      </c>
      <c r="H191" s="35">
        <f>F191 * G191 * 404.881</f>
        <v>672.10245999999995</v>
      </c>
      <c r="I191" s="35">
        <f>F191 * G191 * 0</f>
        <v>0</v>
      </c>
      <c r="J191" s="35">
        <f>F191 * G191 * 0</f>
        <v>0</v>
      </c>
      <c r="K191" s="35">
        <f>F191 * G191 * 385.446712</f>
        <v>639.84154191999994</v>
      </c>
      <c r="L191" s="35">
        <f>F191 * G191 * 82.98441</f>
        <v>137.75412059999999</v>
      </c>
      <c r="M191" s="35">
        <f>F191 * G191 * 80.9762</f>
        <v>134.420492</v>
      </c>
      <c r="N191" s="36">
        <f>SUM(H191:M191)</f>
        <v>1584.1186145199999</v>
      </c>
      <c r="O191" s="71">
        <f t="shared" si="59"/>
        <v>1939.93541712041</v>
      </c>
      <c r="P191" s="37">
        <f t="shared" si="60"/>
        <v>1.3066705848693351E-2</v>
      </c>
    </row>
    <row r="192" spans="2:16" x14ac:dyDescent="0.25">
      <c r="B192" s="30">
        <v>111</v>
      </c>
      <c r="C192" s="31" t="s">
        <v>450</v>
      </c>
      <c r="D192" s="32" t="s">
        <v>451</v>
      </c>
      <c r="E192" s="32" t="s">
        <v>452</v>
      </c>
      <c r="F192" s="33">
        <v>4</v>
      </c>
      <c r="G192" s="34">
        <v>2</v>
      </c>
      <c r="H192" s="35">
        <f>F192 * G192 * 57.770437</f>
        <v>462.16349600000001</v>
      </c>
      <c r="I192" s="35">
        <f>F192 * G192 * 0</f>
        <v>0</v>
      </c>
      <c r="J192" s="35">
        <f>F192 * G192 * 0</f>
        <v>0</v>
      </c>
      <c r="K192" s="35">
        <f>F192 * G192 * 54.997456</f>
        <v>439.979648</v>
      </c>
      <c r="L192" s="35">
        <f>F192 * G192 * 11.840628</f>
        <v>94.725024000000005</v>
      </c>
      <c r="M192" s="35">
        <f>F192 * G192 * 11.554087</f>
        <v>92.432696000000007</v>
      </c>
      <c r="N192" s="36">
        <f>SUM(H192:M192)</f>
        <v>1089.300864</v>
      </c>
      <c r="O192" s="71">
        <f t="shared" si="59"/>
        <v>1333.9741775673601</v>
      </c>
      <c r="P192" s="37">
        <f t="shared" si="60"/>
        <v>8.9851693175945681E-3</v>
      </c>
    </row>
    <row r="193" spans="2:16" ht="28.5" x14ac:dyDescent="0.25">
      <c r="B193" s="43" t="s">
        <v>372</v>
      </c>
      <c r="C193" s="43"/>
      <c r="D193" s="43"/>
      <c r="E193" s="43"/>
      <c r="F193" s="43"/>
      <c r="G193" s="43"/>
      <c r="H193" s="44">
        <f t="shared" ref="H193:O193" si="61">SUM(H160:H192)</f>
        <v>29025.088600599996</v>
      </c>
      <c r="I193" s="44">
        <f t="shared" si="61"/>
        <v>75448.767999310003</v>
      </c>
      <c r="J193" s="44">
        <f t="shared" si="61"/>
        <v>0</v>
      </c>
      <c r="K193" s="44">
        <f t="shared" si="61"/>
        <v>27631.884349719974</v>
      </c>
      <c r="L193" s="44">
        <f t="shared" si="61"/>
        <v>13871.102804099984</v>
      </c>
      <c r="M193" s="44">
        <f t="shared" si="61"/>
        <v>5805.017716639999</v>
      </c>
      <c r="N193" s="44">
        <f t="shared" si="61"/>
        <v>151781.86147036997</v>
      </c>
      <c r="O193" s="44">
        <f t="shared" si="61"/>
        <v>185874.34428453716</v>
      </c>
      <c r="P193" s="45">
        <f>SUM(P162:P192)</f>
        <v>1.2519825970237712</v>
      </c>
    </row>
    <row r="194" spans="2:16" x14ac:dyDescent="0.25">
      <c r="B194" s="23" t="s">
        <v>453</v>
      </c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46"/>
      <c r="N194" s="46"/>
      <c r="O194" s="46"/>
      <c r="P194" s="47"/>
    </row>
    <row r="195" spans="2:16" x14ac:dyDescent="0.25"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48"/>
      <c r="N195" s="48"/>
      <c r="O195" s="48"/>
      <c r="P195" s="49"/>
    </row>
    <row r="196" spans="2:16" x14ac:dyDescent="0.25">
      <c r="B196" s="27"/>
      <c r="C196" s="28" t="s">
        <v>454</v>
      </c>
      <c r="D196" s="29" t="s">
        <v>455</v>
      </c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</row>
    <row r="197" spans="2:16" x14ac:dyDescent="0.25">
      <c r="B197" s="38"/>
      <c r="C197" s="39" t="s">
        <v>456</v>
      </c>
      <c r="D197" s="40" t="s">
        <v>457</v>
      </c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2:16" x14ac:dyDescent="0.25">
      <c r="B198" s="38"/>
      <c r="C198" s="39" t="s">
        <v>458</v>
      </c>
      <c r="D198" s="41" t="s">
        <v>459</v>
      </c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</row>
    <row r="199" spans="2:16" ht="45" x14ac:dyDescent="0.25">
      <c r="B199" s="30">
        <v>112</v>
      </c>
      <c r="C199" s="31" t="s">
        <v>460</v>
      </c>
      <c r="D199" s="32" t="s">
        <v>461</v>
      </c>
      <c r="E199" s="32" t="s">
        <v>462</v>
      </c>
      <c r="F199" s="33">
        <v>0.04</v>
      </c>
      <c r="G199" s="34">
        <v>1</v>
      </c>
      <c r="H199" s="35">
        <f>F199 * G199 * 24950.02481</f>
        <v>998.00099239999997</v>
      </c>
      <c r="I199" s="35">
        <f>F199 * G199 * 47362.619236</f>
        <v>1894.50476944</v>
      </c>
      <c r="J199" s="35">
        <f>F199 * G199 * 0</f>
        <v>0</v>
      </c>
      <c r="K199" s="35">
        <f>F199 * G199 * 23752.423619</f>
        <v>950.09694476000004</v>
      </c>
      <c r="L199" s="35">
        <f>F199 * G199 * 10086.832105</f>
        <v>403.47328419999997</v>
      </c>
      <c r="M199" s="35">
        <f>F199 * G199 * 4990.004962</f>
        <v>199.60019848000002</v>
      </c>
      <c r="N199" s="36">
        <f>SUM(H199:M199)</f>
        <v>4445.6761892800005</v>
      </c>
      <c r="O199" s="71">
        <f t="shared" ref="O199:O203" si="62">N199*1.07*1.09*1.05</f>
        <v>5444.2417465351282</v>
      </c>
      <c r="P199" s="37">
        <f t="shared" ref="P199:P203" si="63">IF($P$9&gt;0,O199/$P$9/12,0)</f>
        <v>3.6670450388883016E-2</v>
      </c>
    </row>
    <row r="200" spans="2:16" ht="45" x14ac:dyDescent="0.25">
      <c r="B200" s="30">
        <v>113</v>
      </c>
      <c r="C200" s="31" t="s">
        <v>463</v>
      </c>
      <c r="D200" s="32" t="s">
        <v>464</v>
      </c>
      <c r="E200" s="32" t="s">
        <v>462</v>
      </c>
      <c r="F200" s="33">
        <v>4.1000000000000002E-2</v>
      </c>
      <c r="G200" s="34">
        <v>1</v>
      </c>
      <c r="H200" s="35">
        <f>F200 * G200 * 27724.533335</f>
        <v>1136.705866735</v>
      </c>
      <c r="I200" s="35">
        <f>F200 * G200 * 56818.498776</f>
        <v>2329.5584498160001</v>
      </c>
      <c r="J200" s="35">
        <f>F200 * G200 * 0</f>
        <v>0</v>
      </c>
      <c r="K200" s="35">
        <f>F200 * G200 * 26393.755735</f>
        <v>1082.1439851350001</v>
      </c>
      <c r="L200" s="35">
        <f>F200 * G200 * 11648.362724</f>
        <v>477.58287168400005</v>
      </c>
      <c r="M200" s="35">
        <f>F200 * G200 * 5544.906667</f>
        <v>227.34117334700002</v>
      </c>
      <c r="N200" s="36">
        <f>SUM(H200:M200)</f>
        <v>5253.3323467170003</v>
      </c>
      <c r="O200" s="71">
        <f t="shared" si="62"/>
        <v>6433.3095917748396</v>
      </c>
      <c r="P200" s="37">
        <f t="shared" si="63"/>
        <v>4.3332454950525651E-2</v>
      </c>
    </row>
    <row r="201" spans="2:16" ht="45" x14ac:dyDescent="0.25">
      <c r="B201" s="30">
        <v>114</v>
      </c>
      <c r="C201" s="31" t="s">
        <v>465</v>
      </c>
      <c r="D201" s="32" t="s">
        <v>466</v>
      </c>
      <c r="E201" s="32" t="s">
        <v>462</v>
      </c>
      <c r="F201" s="33">
        <v>5.0999999999999997E-2</v>
      </c>
      <c r="G201" s="34">
        <v>1</v>
      </c>
      <c r="H201" s="35">
        <f>F201 * G201 * 32574.785275</f>
        <v>1661.3140490249998</v>
      </c>
      <c r="I201" s="35">
        <f>F201 * G201 * 81427.422388</f>
        <v>4152.798541788</v>
      </c>
      <c r="J201" s="35">
        <f>F201 * G201 * 0</f>
        <v>0</v>
      </c>
      <c r="K201" s="35">
        <f>F201 * G201 * 31011.195582</f>
        <v>1581.5709746819998</v>
      </c>
      <c r="L201" s="35">
        <f>F201 * G201 * 15226.40734</f>
        <v>776.54677433999996</v>
      </c>
      <c r="M201" s="35">
        <f>F201 * G201 * 6514.957055</f>
        <v>332.26280980499996</v>
      </c>
      <c r="N201" s="36">
        <f>SUM(H201:M201)</f>
        <v>8504.4931496399986</v>
      </c>
      <c r="O201" s="71">
        <f t="shared" si="62"/>
        <v>10414.729878446389</v>
      </c>
      <c r="P201" s="37">
        <f t="shared" si="63"/>
        <v>7.0149867162722201E-2</v>
      </c>
    </row>
    <row r="202" spans="2:16" ht="45" x14ac:dyDescent="0.25">
      <c r="B202" s="30">
        <v>115</v>
      </c>
      <c r="C202" s="31" t="s">
        <v>467</v>
      </c>
      <c r="D202" s="32" t="s">
        <v>468</v>
      </c>
      <c r="E202" s="32" t="s">
        <v>462</v>
      </c>
      <c r="F202" s="33">
        <v>6.0999999999999999E-2</v>
      </c>
      <c r="G202" s="34">
        <v>1</v>
      </c>
      <c r="H202" s="35">
        <f>F202 * G202 * 35924.74742</f>
        <v>2191.4095926199998</v>
      </c>
      <c r="I202" s="35">
        <f>F202 * G202 * 90907.986513</f>
        <v>5545.3871772929997</v>
      </c>
      <c r="J202" s="35">
        <f>F202 * G202 * 0</f>
        <v>0</v>
      </c>
      <c r="K202" s="35">
        <f>F202 * G202 * 34200.359544</f>
        <v>2086.2219321839998</v>
      </c>
      <c r="L202" s="35">
        <f>F202 * G202 * 16908.474815</f>
        <v>1031.4169637150001</v>
      </c>
      <c r="M202" s="35">
        <f>F202 * G202 * 7184.949484</f>
        <v>438.28191852399999</v>
      </c>
      <c r="N202" s="36">
        <f>SUM(H202:M202)</f>
        <v>11292.717584336</v>
      </c>
      <c r="O202" s="71">
        <f t="shared" si="62"/>
        <v>13829.231344541633</v>
      </c>
      <c r="P202" s="37">
        <f t="shared" si="63"/>
        <v>9.3148718507797393E-2</v>
      </c>
    </row>
    <row r="203" spans="2:16" ht="45" x14ac:dyDescent="0.25">
      <c r="B203" s="30">
        <v>116</v>
      </c>
      <c r="C203" s="31" t="s">
        <v>469</v>
      </c>
      <c r="D203" s="32" t="s">
        <v>470</v>
      </c>
      <c r="E203" s="32" t="s">
        <v>462</v>
      </c>
      <c r="F203" s="33">
        <v>0.04</v>
      </c>
      <c r="G203" s="34">
        <v>1</v>
      </c>
      <c r="H203" s="35">
        <f>F203 * G203 * 45296.42066</f>
        <v>1811.8568264000003</v>
      </c>
      <c r="I203" s="35">
        <f>F203 * G203 * 143028.89213</f>
        <v>5721.1556851999994</v>
      </c>
      <c r="J203" s="35">
        <f>F203 * G203 * 0</f>
        <v>0</v>
      </c>
      <c r="K203" s="35">
        <f>F203 * G203 * 43122.192468</f>
        <v>1724.8876987200001</v>
      </c>
      <c r="L203" s="35">
        <f>F203 * G203 * 24301.988052</f>
        <v>972.07952208000006</v>
      </c>
      <c r="M203" s="35">
        <f>F203 * G203 * 9059.284132</f>
        <v>362.37136528000002</v>
      </c>
      <c r="N203" s="36">
        <f>SUM(H203:M203)</f>
        <v>10592.351097679999</v>
      </c>
      <c r="O203" s="71">
        <f t="shared" si="62"/>
        <v>12971.552039485396</v>
      </c>
      <c r="P203" s="37">
        <f t="shared" si="63"/>
        <v>8.7371699802547387E-2</v>
      </c>
    </row>
    <row r="204" spans="2:16" x14ac:dyDescent="0.25">
      <c r="B204" s="38"/>
      <c r="C204" s="39" t="s">
        <v>471</v>
      </c>
      <c r="D204" s="41" t="s">
        <v>472</v>
      </c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</row>
    <row r="205" spans="2:16" ht="45" x14ac:dyDescent="0.25">
      <c r="B205" s="30">
        <v>117</v>
      </c>
      <c r="C205" s="31" t="s">
        <v>473</v>
      </c>
      <c r="D205" s="32" t="s">
        <v>474</v>
      </c>
      <c r="E205" s="32" t="s">
        <v>303</v>
      </c>
      <c r="F205" s="33">
        <v>0.1</v>
      </c>
      <c r="G205" s="34">
        <v>1</v>
      </c>
      <c r="H205" s="35">
        <f>F205 * G205 * 7490.2985</f>
        <v>749.02985000000001</v>
      </c>
      <c r="I205" s="35">
        <f>F205 * G205 * 37826.932816</f>
        <v>3782.6932816000003</v>
      </c>
      <c r="J205" s="35">
        <f>F205 * G205 * 0</f>
        <v>0</v>
      </c>
      <c r="K205" s="35">
        <f>F205 * G205 * 7130.76417199999</f>
        <v>713.07641719999901</v>
      </c>
      <c r="L205" s="35">
        <f>F205 * G205 * 5507.039526</f>
        <v>550.70395259999998</v>
      </c>
      <c r="M205" s="35">
        <f>F205 * G205 * 1498.0597</f>
        <v>149.80597</v>
      </c>
      <c r="N205" s="36">
        <f>SUM(H205:M205)</f>
        <v>5945.3094713999999</v>
      </c>
      <c r="O205" s="71">
        <f t="shared" ref="O205:O207" si="64">N205*1.07*1.09*1.05</f>
        <v>7280.7151583185123</v>
      </c>
      <c r="P205" s="37">
        <f t="shared" ref="P205:P207" si="65">IF($P$9&gt;0,O205/$P$9/12,0)</f>
        <v>4.9040273455642526E-2</v>
      </c>
    </row>
    <row r="206" spans="2:16" ht="45" x14ac:dyDescent="0.25">
      <c r="B206" s="30">
        <v>118</v>
      </c>
      <c r="C206" s="31" t="s">
        <v>475</v>
      </c>
      <c r="D206" s="32" t="s">
        <v>476</v>
      </c>
      <c r="E206" s="32" t="s">
        <v>303</v>
      </c>
      <c r="F206" s="33">
        <v>0.12</v>
      </c>
      <c r="G206" s="34">
        <v>1</v>
      </c>
      <c r="H206" s="35">
        <f>F206 * G206 * 9109.8225</f>
        <v>1093.1786999999999</v>
      </c>
      <c r="I206" s="35">
        <f>F206 * G206 * 37826.932816</f>
        <v>4539.2319379199998</v>
      </c>
      <c r="J206" s="35">
        <f>F206 * G206 * 0</f>
        <v>0</v>
      </c>
      <c r="K206" s="35">
        <f>F206 * G206 * 8672.55101999999</f>
        <v>1040.7061223999988</v>
      </c>
      <c r="L206" s="35">
        <f>F206 * G206 * 5838.977166</f>
        <v>700.67725991999998</v>
      </c>
      <c r="M206" s="35">
        <f>F206 * G206 * 1821.9645</f>
        <v>218.63574</v>
      </c>
      <c r="N206" s="36">
        <f>SUM(H206:M206)</f>
        <v>7592.4297602399993</v>
      </c>
      <c r="O206" s="71">
        <f t="shared" si="64"/>
        <v>9297.8033708363091</v>
      </c>
      <c r="P206" s="37">
        <f t="shared" si="65"/>
        <v>6.2626652729525736E-2</v>
      </c>
    </row>
    <row r="207" spans="2:16" ht="45" x14ac:dyDescent="0.25">
      <c r="B207" s="30">
        <v>119</v>
      </c>
      <c r="C207" s="31" t="s">
        <v>477</v>
      </c>
      <c r="D207" s="32" t="s">
        <v>478</v>
      </c>
      <c r="E207" s="32" t="s">
        <v>303</v>
      </c>
      <c r="F207" s="33">
        <v>0.09</v>
      </c>
      <c r="G207" s="34">
        <v>1</v>
      </c>
      <c r="H207" s="35">
        <f>F207 * G207 * 10729.3465</f>
        <v>965.64118499999995</v>
      </c>
      <c r="I207" s="35">
        <f>F207 * G207 * 37826.932816</f>
        <v>3404.4239534399999</v>
      </c>
      <c r="J207" s="35">
        <f>F207 * G207 * 0</f>
        <v>0</v>
      </c>
      <c r="K207" s="35">
        <f>F207 * G207 * 10214.3378679999</f>
        <v>919.29040811999096</v>
      </c>
      <c r="L207" s="35">
        <f>F207 * G207 * 6170.914804</f>
        <v>555.38233235999996</v>
      </c>
      <c r="M207" s="35">
        <f>F207 * G207 * 2145.8693</f>
        <v>193.12823699999998</v>
      </c>
      <c r="N207" s="36">
        <f>SUM(H207:M207)</f>
        <v>6037.866115919991</v>
      </c>
      <c r="O207" s="71">
        <f t="shared" si="64"/>
        <v>7394.0614135473606</v>
      </c>
      <c r="P207" s="37">
        <f t="shared" si="65"/>
        <v>4.9803732982725508E-2</v>
      </c>
    </row>
    <row r="208" spans="2:16" x14ac:dyDescent="0.25">
      <c r="B208" s="38"/>
      <c r="C208" s="39" t="s">
        <v>479</v>
      </c>
      <c r="D208" s="41" t="s">
        <v>480</v>
      </c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</row>
    <row r="209" spans="2:16" ht="30" x14ac:dyDescent="0.25">
      <c r="B209" s="30">
        <v>120</v>
      </c>
      <c r="C209" s="31" t="s">
        <v>481</v>
      </c>
      <c r="D209" s="32" t="s">
        <v>482</v>
      </c>
      <c r="E209" s="32" t="s">
        <v>483</v>
      </c>
      <c r="F209" s="33">
        <v>0.04</v>
      </c>
      <c r="G209" s="34">
        <v>1</v>
      </c>
      <c r="H209" s="35">
        <f>F209 * G209 * 6544.78244</f>
        <v>261.79129760000001</v>
      </c>
      <c r="I209" s="35">
        <f>F209 * G209 * 6808.711391</f>
        <v>272.34845564</v>
      </c>
      <c r="J209" s="35">
        <f>F209 * G209 * 0</f>
        <v>0</v>
      </c>
      <c r="K209" s="35">
        <f>F209 * G209 * 6230.632883</f>
        <v>249.22531532000002</v>
      </c>
      <c r="L209" s="35">
        <f>F209 * G209 * 2056.333305</f>
        <v>82.253332200000003</v>
      </c>
      <c r="M209" s="35">
        <f>F209 * G209 * 1308.956488</f>
        <v>52.358259520000004</v>
      </c>
      <c r="N209" s="36">
        <f>SUM(H209:M209)</f>
        <v>917.97666028000015</v>
      </c>
      <c r="O209" s="71">
        <f t="shared" ref="O209:O211" si="66">N209*1.07*1.09*1.05</f>
        <v>1124.1679878287925</v>
      </c>
      <c r="P209" s="37">
        <f t="shared" ref="P209:P211" si="67">IF($P$9&gt;0,O209/$P$9/12,0)</f>
        <v>7.5719904342385529E-3</v>
      </c>
    </row>
    <row r="210" spans="2:16" ht="30" x14ac:dyDescent="0.25">
      <c r="B210" s="30">
        <v>121</v>
      </c>
      <c r="C210" s="31" t="s">
        <v>484</v>
      </c>
      <c r="D210" s="32" t="s">
        <v>485</v>
      </c>
      <c r="E210" s="32" t="s">
        <v>483</v>
      </c>
      <c r="F210" s="33">
        <v>7.0000000000000007E-2</v>
      </c>
      <c r="G210" s="34">
        <v>1</v>
      </c>
      <c r="H210" s="35">
        <f>F210 * G210 * 9486.51392</f>
        <v>664.05597439999997</v>
      </c>
      <c r="I210" s="35">
        <f>F210 * G210 * 14772.259248</f>
        <v>1034.05814736</v>
      </c>
      <c r="J210" s="35">
        <f>F210 * G210 * 0</f>
        <v>0</v>
      </c>
      <c r="K210" s="35">
        <f>F210 * G210 * 9031.161252</f>
        <v>632.18128764000005</v>
      </c>
      <c r="L210" s="35">
        <f>F210 * G210 * 3495.443114</f>
        <v>244.68101798000004</v>
      </c>
      <c r="M210" s="35">
        <f>F210 * G210 * 1897.302784</f>
        <v>132.81119488000002</v>
      </c>
      <c r="N210" s="36">
        <f>SUM(H210:M210)</f>
        <v>2707.7876222600003</v>
      </c>
      <c r="O210" s="71">
        <f t="shared" si="66"/>
        <v>3315.9973390339305</v>
      </c>
      <c r="P210" s="37">
        <f t="shared" si="67"/>
        <v>2.2335363044468228E-2</v>
      </c>
    </row>
    <row r="211" spans="2:16" ht="30" x14ac:dyDescent="0.25">
      <c r="B211" s="30">
        <v>122</v>
      </c>
      <c r="C211" s="31" t="s">
        <v>486</v>
      </c>
      <c r="D211" s="32" t="s">
        <v>487</v>
      </c>
      <c r="E211" s="32" t="s">
        <v>483</v>
      </c>
      <c r="F211" s="33">
        <v>7.0000000000000007E-2</v>
      </c>
      <c r="G211" s="34">
        <v>1</v>
      </c>
      <c r="H211" s="35">
        <f>F211 * G211 * 16190.9252</f>
        <v>1133.3647640000002</v>
      </c>
      <c r="I211" s="35">
        <f>F211 * G211 * 26940.047877</f>
        <v>1885.8033513900002</v>
      </c>
      <c r="J211" s="35">
        <f>F211 * G211 * 0</f>
        <v>0</v>
      </c>
      <c r="K211" s="35">
        <f>F211 * G211 * 15413.76079</f>
        <v>1078.9632553000001</v>
      </c>
      <c r="L211" s="35">
        <f>F211 * G211 * 6147.197056</f>
        <v>430.30379392000003</v>
      </c>
      <c r="M211" s="35">
        <f>F211 * G211 * 3238.18504</f>
        <v>226.67295280000002</v>
      </c>
      <c r="N211" s="36">
        <f>SUM(H211:M211)</f>
        <v>4755.10811741</v>
      </c>
      <c r="O211" s="71">
        <f t="shared" si="66"/>
        <v>5823.1767272020479</v>
      </c>
      <c r="P211" s="37">
        <f t="shared" si="67"/>
        <v>3.9222819856679379E-2</v>
      </c>
    </row>
    <row r="212" spans="2:16" x14ac:dyDescent="0.25">
      <c r="B212" s="38"/>
      <c r="C212" s="39" t="s">
        <v>488</v>
      </c>
      <c r="D212" s="41" t="s">
        <v>489</v>
      </c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</row>
    <row r="213" spans="2:16" ht="45" x14ac:dyDescent="0.25">
      <c r="B213" s="30">
        <v>123</v>
      </c>
      <c r="C213" s="31" t="s">
        <v>490</v>
      </c>
      <c r="D213" s="32" t="s">
        <v>491</v>
      </c>
      <c r="E213" s="32" t="s">
        <v>492</v>
      </c>
      <c r="F213" s="33">
        <v>0.04</v>
      </c>
      <c r="G213" s="34">
        <v>1</v>
      </c>
      <c r="H213" s="35">
        <f>F213 * G213 * 26.317265</f>
        <v>1.0526906</v>
      </c>
      <c r="I213" s="35">
        <f>F213 * G213 * 3.958512</f>
        <v>0.15834048000000001</v>
      </c>
      <c r="J213" s="35">
        <f>F213 * G213 * 0</f>
        <v>0</v>
      </c>
      <c r="K213" s="35">
        <f>F213 * G213 * 25.054036</f>
        <v>1.0021614400000001</v>
      </c>
      <c r="L213" s="35">
        <f>F213 * G213 * 5.80963</f>
        <v>0.23238520000000001</v>
      </c>
      <c r="M213" s="35">
        <f>F213 * G213 * 5.263453</f>
        <v>0.21053812000000002</v>
      </c>
      <c r="N213" s="36">
        <f>SUM(H213:M213)</f>
        <v>2.65611584</v>
      </c>
      <c r="O213" s="71">
        <f t="shared" ref="O213:O215" si="68">N213*1.07*1.09*1.05</f>
        <v>3.2527192994016008</v>
      </c>
      <c r="P213" s="37">
        <f t="shared" ref="P213:P215" si="69">IF($P$9&gt;0,O213/$P$9/12,0)</f>
        <v>2.1909144973876501E-5</v>
      </c>
    </row>
    <row r="214" spans="2:16" ht="45" x14ac:dyDescent="0.25">
      <c r="B214" s="30">
        <v>124</v>
      </c>
      <c r="C214" s="31" t="s">
        <v>493</v>
      </c>
      <c r="D214" s="32" t="s">
        <v>494</v>
      </c>
      <c r="E214" s="32" t="s">
        <v>492</v>
      </c>
      <c r="F214" s="33">
        <v>7.0000000000000007E-2</v>
      </c>
      <c r="G214" s="34">
        <v>1</v>
      </c>
      <c r="H214" s="35">
        <f>F214 * G214 * 26.317265</f>
        <v>1.8422085500000001</v>
      </c>
      <c r="I214" s="35">
        <f>F214 * G214 * 8.142077</f>
        <v>0.56994539000000011</v>
      </c>
      <c r="J214" s="35">
        <f>F214 * G214 * 0</f>
        <v>0</v>
      </c>
      <c r="K214" s="35">
        <f>F214 * G214 * 25.054036</f>
        <v>1.7537825200000001</v>
      </c>
      <c r="L214" s="35">
        <f>F214 * G214 * 6.248905</f>
        <v>0.43742335000000004</v>
      </c>
      <c r="M214" s="35">
        <f>F214 * G214 * 5.263453</f>
        <v>0.36844171000000003</v>
      </c>
      <c r="N214" s="36">
        <f>SUM(H214:M214)</f>
        <v>4.9718015200000005</v>
      </c>
      <c r="O214" s="71">
        <f t="shared" si="68"/>
        <v>6.0885427184148027</v>
      </c>
      <c r="P214" s="37">
        <f t="shared" si="69"/>
        <v>4.1010229539920805E-5</v>
      </c>
    </row>
    <row r="215" spans="2:16" ht="30" x14ac:dyDescent="0.25">
      <c r="B215" s="30">
        <v>125</v>
      </c>
      <c r="C215" s="31" t="s">
        <v>495</v>
      </c>
      <c r="D215" s="32" t="s">
        <v>496</v>
      </c>
      <c r="E215" s="32" t="s">
        <v>492</v>
      </c>
      <c r="F215" s="33">
        <v>7.0000000000000007E-2</v>
      </c>
      <c r="G215" s="34">
        <v>1</v>
      </c>
      <c r="H215" s="35">
        <f>F215 * G215 * 26.317265</f>
        <v>1.8422085500000001</v>
      </c>
      <c r="I215" s="35">
        <f>F215 * G215 * 5.927076</f>
        <v>0.41489532000000001</v>
      </c>
      <c r="J215" s="35">
        <f>F215 * G215 * 0</f>
        <v>0</v>
      </c>
      <c r="K215" s="35">
        <f>F215 * G215 * 25.054036</f>
        <v>1.7537825200000001</v>
      </c>
      <c r="L215" s="35">
        <f>F215 * G215 * 6.01633</f>
        <v>0.42114310000000005</v>
      </c>
      <c r="M215" s="35">
        <f>F215 * G215 * 5.263453</f>
        <v>0.36844171000000003</v>
      </c>
      <c r="N215" s="36">
        <f>SUM(H215:M215)</f>
        <v>4.8004711999999996</v>
      </c>
      <c r="O215" s="71">
        <f t="shared" si="68"/>
        <v>5.8787290385880002</v>
      </c>
      <c r="P215" s="37">
        <f t="shared" si="69"/>
        <v>3.9597000206029747E-5</v>
      </c>
    </row>
    <row r="216" spans="2:16" x14ac:dyDescent="0.25">
      <c r="B216" s="38"/>
      <c r="C216" s="39" t="s">
        <v>497</v>
      </c>
      <c r="D216" s="41" t="s">
        <v>498</v>
      </c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</row>
    <row r="217" spans="2:16" ht="45" x14ac:dyDescent="0.25">
      <c r="B217" s="30">
        <v>126</v>
      </c>
      <c r="C217" s="31" t="s">
        <v>499</v>
      </c>
      <c r="D217" s="32" t="s">
        <v>500</v>
      </c>
      <c r="E217" s="32" t="s">
        <v>501</v>
      </c>
      <c r="F217" s="33">
        <v>0.01</v>
      </c>
      <c r="G217" s="34">
        <v>1</v>
      </c>
      <c r="H217" s="35">
        <f>F217 * G217 * 38150.26096</f>
        <v>381.50260960000003</v>
      </c>
      <c r="I217" s="35">
        <f>F217 * G217 * 12894.596972</f>
        <v>128.94596971999999</v>
      </c>
      <c r="J217" s="35">
        <f>F217 * G217 * 4488.4112</f>
        <v>44.884111999999995</v>
      </c>
      <c r="K217" s="35">
        <f>F217 * G217 * 38086.027245</f>
        <v>380.86027244999997</v>
      </c>
      <c r="L217" s="35">
        <f>F217 * G217 * 9830.02612</f>
        <v>98.300261200000008</v>
      </c>
      <c r="M217" s="35">
        <f>F217 * G217 * 8001.266228</f>
        <v>80.012662280000001</v>
      </c>
      <c r="N217" s="36">
        <f t="shared" ref="N217:N222" si="70">SUM(H217:M217)</f>
        <v>1114.5058872500001</v>
      </c>
      <c r="O217" s="71">
        <f t="shared" ref="O217:O222" si="71">N217*1.07*1.09*1.05</f>
        <v>1364.8406271146589</v>
      </c>
      <c r="P217" s="37">
        <f t="shared" ref="P217:P222" si="72">IF($P$9&gt;0,O217/$P$9/12,0)</f>
        <v>9.1930745979810508E-3</v>
      </c>
    </row>
    <row r="218" spans="2:16" ht="45" x14ac:dyDescent="0.25">
      <c r="B218" s="30">
        <v>127</v>
      </c>
      <c r="C218" s="31" t="s">
        <v>502</v>
      </c>
      <c r="D218" s="32" t="s">
        <v>503</v>
      </c>
      <c r="E218" s="32" t="s">
        <v>501</v>
      </c>
      <c r="F218" s="33">
        <v>0.01</v>
      </c>
      <c r="G218" s="34">
        <v>1</v>
      </c>
      <c r="H218" s="35">
        <f>F218 * G218 * 31902.598864</f>
        <v>319.02598863999998</v>
      </c>
      <c r="I218" s="35">
        <f>F218 * G218 * 17388.013653</f>
        <v>173.88013653000002</v>
      </c>
      <c r="J218" s="35">
        <f>F218 * G218 * 10323.34576</f>
        <v>103.23345760000001</v>
      </c>
      <c r="K218" s="35">
        <f>F218 * G218 * 34435.325385</f>
        <v>344.35325384999999</v>
      </c>
      <c r="L218" s="35">
        <f>F218 * G218 * 9875.174784</f>
        <v>98.751747840000007</v>
      </c>
      <c r="M218" s="35">
        <f>F218 * G218 * 7234.312056</f>
        <v>72.343120560000003</v>
      </c>
      <c r="N218" s="36">
        <f t="shared" si="70"/>
        <v>1111.5877050200002</v>
      </c>
      <c r="O218" s="71">
        <f t="shared" si="71"/>
        <v>1361.2669773830676</v>
      </c>
      <c r="P218" s="37">
        <f t="shared" si="72"/>
        <v>9.1690037812740301E-3</v>
      </c>
    </row>
    <row r="219" spans="2:16" ht="45" x14ac:dyDescent="0.25">
      <c r="B219" s="30">
        <v>128</v>
      </c>
      <c r="C219" s="31" t="s">
        <v>504</v>
      </c>
      <c r="D219" s="32" t="s">
        <v>505</v>
      </c>
      <c r="E219" s="32" t="s">
        <v>501</v>
      </c>
      <c r="F219" s="33">
        <v>0.02</v>
      </c>
      <c r="G219" s="34">
        <v>1</v>
      </c>
      <c r="H219" s="35">
        <f>F219 * G219 * 31902.598864</f>
        <v>638.05197727999996</v>
      </c>
      <c r="I219" s="35">
        <f>F219 * G219 * 24661.966138</f>
        <v>493.23932275999999</v>
      </c>
      <c r="J219" s="35">
        <f>F219 * G219 * 10323.34576</f>
        <v>206.46691520000002</v>
      </c>
      <c r="K219" s="35">
        <f>F219 * G219 * 34435.325385</f>
        <v>688.70650769999997</v>
      </c>
      <c r="L219" s="35">
        <f>F219 * G219 * 10638.9397959999</f>
        <v>212.778795919998</v>
      </c>
      <c r="M219" s="35">
        <f>F219 * G219 * 7234.312056</f>
        <v>144.68624112000001</v>
      </c>
      <c r="N219" s="36">
        <f t="shared" si="70"/>
        <v>2383.9297599799979</v>
      </c>
      <c r="O219" s="71">
        <f t="shared" si="71"/>
        <v>2919.3961430179056</v>
      </c>
      <c r="P219" s="37">
        <f t="shared" si="72"/>
        <v>1.9664000316695667E-2</v>
      </c>
    </row>
    <row r="220" spans="2:16" ht="45" x14ac:dyDescent="0.25">
      <c r="B220" s="30">
        <v>129</v>
      </c>
      <c r="C220" s="31" t="s">
        <v>506</v>
      </c>
      <c r="D220" s="32" t="s">
        <v>507</v>
      </c>
      <c r="E220" s="32" t="s">
        <v>501</v>
      </c>
      <c r="F220" s="33">
        <v>0.02</v>
      </c>
      <c r="G220" s="34">
        <v>1</v>
      </c>
      <c r="H220" s="35">
        <f>F220 * G220 * 36609.53968</f>
        <v>732.19079360000001</v>
      </c>
      <c r="I220" s="35">
        <f>F220 * G220 * 26746.278237</f>
        <v>534.92556474000003</v>
      </c>
      <c r="J220" s="35">
        <f>F220 * G220 * 13016.39248</f>
        <v>260.32784960000004</v>
      </c>
      <c r="K220" s="35">
        <f>F220 * G220 * 39976.520328</f>
        <v>799.53040655999996</v>
      </c>
      <c r="L220" s="35">
        <f>F220 * G220 * 12216.616727</f>
        <v>244.33233454000001</v>
      </c>
      <c r="M220" s="35">
        <f>F220 * G220 * 8398.42864</f>
        <v>167.9685728</v>
      </c>
      <c r="N220" s="36">
        <f t="shared" si="70"/>
        <v>2739.2755218399998</v>
      </c>
      <c r="O220" s="71">
        <f t="shared" si="71"/>
        <v>3354.5578931780919</v>
      </c>
      <c r="P220" s="37">
        <f t="shared" si="72"/>
        <v>2.2595093040589584E-2</v>
      </c>
    </row>
    <row r="221" spans="2:16" ht="45" x14ac:dyDescent="0.25">
      <c r="B221" s="30">
        <v>130</v>
      </c>
      <c r="C221" s="31" t="s">
        <v>508</v>
      </c>
      <c r="D221" s="32" t="s">
        <v>509</v>
      </c>
      <c r="E221" s="32" t="s">
        <v>501</v>
      </c>
      <c r="F221" s="33">
        <v>0.02</v>
      </c>
      <c r="G221" s="34">
        <v>1</v>
      </c>
      <c r="H221" s="35">
        <f>F221 * G221 * 32687.089</f>
        <v>653.74178000000006</v>
      </c>
      <c r="I221" s="35">
        <f>F221 * G221 * 37481.305144</f>
        <v>749.62610287999996</v>
      </c>
      <c r="J221" s="35">
        <f>F221 * G221 * 11043.03928</f>
        <v>220.86078560000001</v>
      </c>
      <c r="K221" s="35">
        <f>F221 * G221 * 35465.485907</f>
        <v>709.30971814000009</v>
      </c>
      <c r="L221" s="35">
        <f>F221 * G221 * 12251.07653</f>
        <v>245.02153060000001</v>
      </c>
      <c r="M221" s="35">
        <f>F221 * G221 * 7450.732333</f>
        <v>149.01464666000001</v>
      </c>
      <c r="N221" s="36">
        <f t="shared" si="70"/>
        <v>2727.5745638799999</v>
      </c>
      <c r="O221" s="71">
        <f t="shared" si="71"/>
        <v>3340.2287245459065</v>
      </c>
      <c r="P221" s="37">
        <f t="shared" si="72"/>
        <v>2.2498576924681449E-2</v>
      </c>
    </row>
    <row r="222" spans="2:16" ht="45" x14ac:dyDescent="0.25">
      <c r="B222" s="30">
        <v>131</v>
      </c>
      <c r="C222" s="31" t="s">
        <v>510</v>
      </c>
      <c r="D222" s="32" t="s">
        <v>511</v>
      </c>
      <c r="E222" s="32" t="s">
        <v>501</v>
      </c>
      <c r="F222" s="33">
        <v>0.01</v>
      </c>
      <c r="G222" s="34">
        <v>1</v>
      </c>
      <c r="H222" s="35">
        <f>F222 * G222 * 29026.135032</f>
        <v>290.26135031999996</v>
      </c>
      <c r="I222" s="35">
        <f>F222 * G222 * 35403.2367</f>
        <v>354.03236700000002</v>
      </c>
      <c r="J222" s="35">
        <f>F222 * G222 * 11043.03928</f>
        <v>110.43039280000001</v>
      </c>
      <c r="K222" s="35">
        <f>F222 * G222 * 31980.2577289999</f>
        <v>319.80257728999902</v>
      </c>
      <c r="L222" s="35">
        <f>F222 * G222 * 11282.530218</f>
        <v>112.82530217999999</v>
      </c>
      <c r="M222" s="35">
        <f>F222 * G222 * 6718.54154</f>
        <v>67.185415399999997</v>
      </c>
      <c r="N222" s="36">
        <f t="shared" si="70"/>
        <v>1254.537404989999</v>
      </c>
      <c r="O222" s="71">
        <f t="shared" si="71"/>
        <v>1536.3253242118278</v>
      </c>
      <c r="P222" s="37">
        <f t="shared" si="72"/>
        <v>1.0348133717344459E-2</v>
      </c>
    </row>
    <row r="223" spans="2:16" x14ac:dyDescent="0.25">
      <c r="B223" s="38"/>
      <c r="C223" s="39" t="s">
        <v>512</v>
      </c>
      <c r="D223" s="40" t="s">
        <v>513</v>
      </c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2:16" x14ac:dyDescent="0.25">
      <c r="B224" s="38"/>
      <c r="C224" s="39" t="s">
        <v>514</v>
      </c>
      <c r="D224" s="41" t="s">
        <v>515</v>
      </c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</row>
    <row r="225" spans="2:16" ht="30" x14ac:dyDescent="0.25">
      <c r="B225" s="30">
        <v>132</v>
      </c>
      <c r="C225" s="31" t="s">
        <v>516</v>
      </c>
      <c r="D225" s="32" t="s">
        <v>517</v>
      </c>
      <c r="E225" s="32" t="s">
        <v>518</v>
      </c>
      <c r="F225" s="33">
        <v>1</v>
      </c>
      <c r="G225" s="34">
        <v>1</v>
      </c>
      <c r="H225" s="35">
        <f>F225 * G225 * 2383.03054</f>
        <v>2383.0305400000002</v>
      </c>
      <c r="I225" s="35">
        <f>F225 * G225 * 0</f>
        <v>0</v>
      </c>
      <c r="J225" s="35">
        <f>F225 * G225 * 0</f>
        <v>0</v>
      </c>
      <c r="K225" s="35">
        <f>F225 * G225 * 2268.645074</f>
        <v>2268.645074</v>
      </c>
      <c r="L225" s="35">
        <f>F225 * G225 * 488.425938999999</f>
        <v>488.425938999999</v>
      </c>
      <c r="M225" s="35">
        <f>F225 * G225 * 476.606108</f>
        <v>476.60610800000001</v>
      </c>
      <c r="N225" s="36">
        <f>SUM(H225:M225)</f>
        <v>5616.7076609999986</v>
      </c>
      <c r="O225" s="71">
        <f>N225*1.07*1.09*1.05</f>
        <v>6878.3044522755144</v>
      </c>
      <c r="P225" s="37">
        <f t="shared" ref="P225" si="73">IF($P$9&gt;0,O225/$P$9/12,0)</f>
        <v>4.6329779961980781E-2</v>
      </c>
    </row>
    <row r="226" spans="2:16" x14ac:dyDescent="0.25">
      <c r="B226" s="38"/>
      <c r="C226" s="39" t="s">
        <v>519</v>
      </c>
      <c r="D226" s="41" t="s">
        <v>520</v>
      </c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</row>
    <row r="227" spans="2:16" ht="30" x14ac:dyDescent="0.25">
      <c r="B227" s="30">
        <v>133</v>
      </c>
      <c r="C227" s="31" t="s">
        <v>521</v>
      </c>
      <c r="D227" s="32" t="s">
        <v>522</v>
      </c>
      <c r="E227" s="32" t="s">
        <v>523</v>
      </c>
      <c r="F227" s="33">
        <v>3</v>
      </c>
      <c r="G227" s="34">
        <v>1</v>
      </c>
      <c r="H227" s="35">
        <f>F227 * G227 * 1677.488648</f>
        <v>5032.4659439999996</v>
      </c>
      <c r="I227" s="35">
        <f>F227 * G227 * 4071.32424</f>
        <v>12213.97272</v>
      </c>
      <c r="J227" s="35">
        <f>F227 * G227 * 0</f>
        <v>0</v>
      </c>
      <c r="K227" s="35">
        <f>F227 * G227 * 1596.969193</f>
        <v>4790.9075789999997</v>
      </c>
      <c r="L227" s="35">
        <f>F227 * G227 * 771.307118</f>
        <v>2313.9213540000001</v>
      </c>
      <c r="M227" s="35">
        <f>F227 * G227 * 335.49773</f>
        <v>1006.4931899999999</v>
      </c>
      <c r="N227" s="36">
        <f>SUM(H227:M227)</f>
        <v>25357.760786999999</v>
      </c>
      <c r="O227" s="71">
        <f t="shared" ref="O227:O228" si="74">N227*1.07*1.09*1.05</f>
        <v>31053.49422617201</v>
      </c>
      <c r="P227" s="37">
        <f t="shared" ref="P227:P228" si="75">IF($P$9&gt;0,O227/$P$9/12,0)</f>
        <v>0.20916514593552651</v>
      </c>
    </row>
    <row r="228" spans="2:16" ht="30" x14ac:dyDescent="0.25">
      <c r="B228" s="30">
        <v>134</v>
      </c>
      <c r="C228" s="31" t="s">
        <v>524</v>
      </c>
      <c r="D228" s="32" t="s">
        <v>525</v>
      </c>
      <c r="E228" s="32" t="s">
        <v>523</v>
      </c>
      <c r="F228" s="33">
        <v>3</v>
      </c>
      <c r="G228" s="34">
        <v>1</v>
      </c>
      <c r="H228" s="35">
        <f>F228 * G228 * 1568.170778</f>
        <v>4704.512334</v>
      </c>
      <c r="I228" s="35">
        <f>F228 * G228 * 12597.38568</f>
        <v>37792.157039999998</v>
      </c>
      <c r="J228" s="35">
        <f>F228 * G228 * 0</f>
        <v>0</v>
      </c>
      <c r="K228" s="35">
        <f>F228 * G228 * 1492.898581</f>
        <v>4478.6957430000002</v>
      </c>
      <c r="L228" s="35">
        <f>F228 * G228 * 1644.137779</f>
        <v>4932.413337</v>
      </c>
      <c r="M228" s="35">
        <f>F228 * G228 * 313.634156</f>
        <v>940.902468</v>
      </c>
      <c r="N228" s="36">
        <f>SUM(H228:M228)</f>
        <v>52848.680921999992</v>
      </c>
      <c r="O228" s="71">
        <f t="shared" si="74"/>
        <v>64719.287387295037</v>
      </c>
      <c r="P228" s="37">
        <f t="shared" si="75"/>
        <v>0.43592579606702658</v>
      </c>
    </row>
    <row r="229" spans="2:16" x14ac:dyDescent="0.25">
      <c r="B229" s="38"/>
      <c r="C229" s="39" t="s">
        <v>526</v>
      </c>
      <c r="D229" s="40" t="s">
        <v>527</v>
      </c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2:16" x14ac:dyDescent="0.25">
      <c r="B230" s="38"/>
      <c r="C230" s="39" t="s">
        <v>528</v>
      </c>
      <c r="D230" s="41" t="s">
        <v>529</v>
      </c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</row>
    <row r="231" spans="2:16" ht="30" x14ac:dyDescent="0.25">
      <c r="B231" s="30">
        <v>135</v>
      </c>
      <c r="C231" s="31" t="s">
        <v>530</v>
      </c>
      <c r="D231" s="32" t="s">
        <v>531</v>
      </c>
      <c r="E231" s="32" t="s">
        <v>532</v>
      </c>
      <c r="F231" s="33">
        <v>1</v>
      </c>
      <c r="G231" s="34">
        <v>1</v>
      </c>
      <c r="H231" s="35">
        <f>F231 * G231 * 3995.6656</f>
        <v>3995.6655999999998</v>
      </c>
      <c r="I231" s="35">
        <f>F231 * G231 * 0</f>
        <v>0</v>
      </c>
      <c r="J231" s="35">
        <f>F231 * G231 * 0</f>
        <v>0</v>
      </c>
      <c r="K231" s="35">
        <f>F231 * G231 * 3803.873651</f>
        <v>3803.8736509999999</v>
      </c>
      <c r="L231" s="35">
        <f>F231 * G231 * 818.951621</f>
        <v>818.95162100000005</v>
      </c>
      <c r="M231" s="35">
        <f>F231 * G231 * 799.13312</f>
        <v>799.13311999999996</v>
      </c>
      <c r="N231" s="36">
        <f>SUM(H231:M231)</f>
        <v>9417.6239920000007</v>
      </c>
      <c r="O231" s="71">
        <f>N231*1.07*1.09*1.05</f>
        <v>11532.963604963083</v>
      </c>
      <c r="P231" s="37">
        <f t="shared" ref="P231" si="76">IF($P$9&gt;0,O231/$P$9/12,0)</f>
        <v>7.7681886551373272E-2</v>
      </c>
    </row>
    <row r="232" spans="2:16" x14ac:dyDescent="0.25">
      <c r="B232" s="38"/>
      <c r="C232" s="39" t="s">
        <v>533</v>
      </c>
      <c r="D232" s="41" t="s">
        <v>534</v>
      </c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</row>
    <row r="233" spans="2:16" ht="30" x14ac:dyDescent="0.25">
      <c r="B233" s="30">
        <v>136</v>
      </c>
      <c r="C233" s="31" t="s">
        <v>535</v>
      </c>
      <c r="D233" s="32" t="s">
        <v>536</v>
      </c>
      <c r="E233" s="32" t="s">
        <v>537</v>
      </c>
      <c r="F233" s="33">
        <v>2</v>
      </c>
      <c r="G233" s="34">
        <v>1</v>
      </c>
      <c r="H233" s="35">
        <f>F233 * G233 * 60.267438</f>
        <v>120.534876</v>
      </c>
      <c r="I233" s="35">
        <f>F233 * G233 * 0</f>
        <v>0</v>
      </c>
      <c r="J233" s="35">
        <f>F233 * G233 * 0</f>
        <v>0</v>
      </c>
      <c r="K233" s="35">
        <f>F233 * G233 * 57.374601</f>
        <v>114.749202</v>
      </c>
      <c r="L233" s="35">
        <f>F233 * G233 * 12.352414</f>
        <v>24.704827999999999</v>
      </c>
      <c r="M233" s="35">
        <f>F233 * G233 * 12.053488</f>
        <v>24.106976</v>
      </c>
      <c r="N233" s="36">
        <f>SUM(H233:M233)</f>
        <v>284.09588199999996</v>
      </c>
      <c r="O233" s="71">
        <f t="shared" ref="O233:O234" si="77">N233*1.07*1.09*1.05</f>
        <v>347.90807853543004</v>
      </c>
      <c r="P233" s="37">
        <f t="shared" ref="P233:P234" si="78">IF($P$9&gt;0,O233/$P$9/12,0)</f>
        <v>2.3433834366272635E-3</v>
      </c>
    </row>
    <row r="234" spans="2:16" x14ac:dyDescent="0.25">
      <c r="B234" s="30">
        <v>137</v>
      </c>
      <c r="C234" s="31" t="s">
        <v>538</v>
      </c>
      <c r="D234" s="32" t="s">
        <v>539</v>
      </c>
      <c r="E234" s="32" t="s">
        <v>540</v>
      </c>
      <c r="F234" s="33">
        <v>1</v>
      </c>
      <c r="G234" s="34">
        <v>1</v>
      </c>
      <c r="H234" s="35">
        <f>F234 * G234 * 27470.201</f>
        <v>27470.201000000001</v>
      </c>
      <c r="I234" s="35">
        <f>F234 * G234 * 0</f>
        <v>0</v>
      </c>
      <c r="J234" s="35">
        <f>F234 * G234 * 0</f>
        <v>0</v>
      </c>
      <c r="K234" s="35">
        <f>F234 * G234 * 26151.6313519999</f>
        <v>26151.631351999898</v>
      </c>
      <c r="L234" s="35">
        <f>F234 * G234 * 5630.292397</f>
        <v>5630.2923970000002</v>
      </c>
      <c r="M234" s="35">
        <f>F234 * G234 * 5494.0402</f>
        <v>5494.0402000000004</v>
      </c>
      <c r="N234" s="36">
        <f>SUM(H234:M234)</f>
        <v>64746.164948999896</v>
      </c>
      <c r="O234" s="71">
        <f t="shared" si="77"/>
        <v>79289.124789019508</v>
      </c>
      <c r="P234" s="37">
        <f t="shared" si="78"/>
        <v>0.53406297007368464</v>
      </c>
    </row>
    <row r="235" spans="2:16" x14ac:dyDescent="0.25">
      <c r="B235" s="38"/>
      <c r="C235" s="39" t="s">
        <v>541</v>
      </c>
      <c r="D235" s="41" t="s">
        <v>542</v>
      </c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</row>
    <row r="236" spans="2:16" ht="30" x14ac:dyDescent="0.25">
      <c r="B236" s="30">
        <v>138</v>
      </c>
      <c r="C236" s="31" t="s">
        <v>543</v>
      </c>
      <c r="D236" s="32" t="s">
        <v>544</v>
      </c>
      <c r="E236" s="32" t="s">
        <v>545</v>
      </c>
      <c r="F236" s="33">
        <v>1</v>
      </c>
      <c r="G236" s="34">
        <v>1</v>
      </c>
      <c r="H236" s="35">
        <f>F236 * G236 * 566.195091</f>
        <v>566.19509100000005</v>
      </c>
      <c r="I236" s="35">
        <f>F236 * G236 * 6605.29152</f>
        <v>6605.2915199999998</v>
      </c>
      <c r="J236" s="35">
        <f>F236 * G236 * 0</f>
        <v>0</v>
      </c>
      <c r="K236" s="35">
        <f>F236 * G236 * 539.017726</f>
        <v>539.01772600000004</v>
      </c>
      <c r="L236" s="35">
        <f>F236 * G236 * 809.602956</f>
        <v>809.60295599999995</v>
      </c>
      <c r="M236" s="35">
        <f>F236 * G236 * 113.239018</f>
        <v>113.239018</v>
      </c>
      <c r="N236" s="36">
        <f>SUM(H236:M236)</f>
        <v>8633.3463110000012</v>
      </c>
      <c r="O236" s="71">
        <f>N236*1.07*1.09*1.05</f>
        <v>10572.525392645268</v>
      </c>
      <c r="P236" s="37">
        <f t="shared" ref="P236" si="79">IF($P$9&gt;0,O236/$P$9/12,0)</f>
        <v>7.1212720879440597E-2</v>
      </c>
    </row>
    <row r="237" spans="2:16" x14ac:dyDescent="0.25">
      <c r="B237" s="38"/>
      <c r="C237" s="39" t="s">
        <v>546</v>
      </c>
      <c r="D237" s="41" t="s">
        <v>547</v>
      </c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</row>
    <row r="238" spans="2:16" ht="30" x14ac:dyDescent="0.25">
      <c r="B238" s="30">
        <v>139</v>
      </c>
      <c r="C238" s="31" t="s">
        <v>548</v>
      </c>
      <c r="D238" s="32" t="s">
        <v>549</v>
      </c>
      <c r="E238" s="32" t="s">
        <v>550</v>
      </c>
      <c r="F238" s="33">
        <v>1</v>
      </c>
      <c r="G238" s="34">
        <v>1</v>
      </c>
      <c r="H238" s="35">
        <f>F238 * G238 * 3546.15322</f>
        <v>3546.1532200000001</v>
      </c>
      <c r="I238" s="35">
        <f>F238 * G238 * 0</f>
        <v>0</v>
      </c>
      <c r="J238" s="35">
        <f>F238 * G238 * 0</f>
        <v>0</v>
      </c>
      <c r="K238" s="35">
        <f>F238 * G238 * 3375.937865</f>
        <v>3375.9378649999999</v>
      </c>
      <c r="L238" s="35">
        <f>F238 * G238 * 726.819564</f>
        <v>726.81956400000001</v>
      </c>
      <c r="M238" s="35">
        <f>F238 * G238 * 709.230644</f>
        <v>709.23064399999998</v>
      </c>
      <c r="N238" s="36">
        <f>SUM(H238:M238)</f>
        <v>8358.1412930000006</v>
      </c>
      <c r="O238" s="71">
        <f>N238*1.07*1.09*1.05</f>
        <v>10235.505199527197</v>
      </c>
      <c r="P238" s="37">
        <f t="shared" ref="P238" si="80">IF($P$9&gt;0,O238/$P$9/12,0)</f>
        <v>6.8942674315168637E-2</v>
      </c>
    </row>
    <row r="239" spans="2:16" x14ac:dyDescent="0.25">
      <c r="B239" s="38"/>
      <c r="C239" s="39" t="s">
        <v>551</v>
      </c>
      <c r="D239" s="41" t="s">
        <v>552</v>
      </c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</row>
    <row r="240" spans="2:16" ht="30" x14ac:dyDescent="0.25">
      <c r="B240" s="30">
        <v>140</v>
      </c>
      <c r="C240" s="31" t="s">
        <v>553</v>
      </c>
      <c r="D240" s="32" t="s">
        <v>554</v>
      </c>
      <c r="E240" s="32" t="s">
        <v>532</v>
      </c>
      <c r="F240" s="33">
        <v>1</v>
      </c>
      <c r="G240" s="34">
        <v>1</v>
      </c>
      <c r="H240" s="35">
        <f>F240 * G240 * 1994.369798</f>
        <v>1994.3697979999999</v>
      </c>
      <c r="I240" s="35">
        <f>F240 * G240 * 72116.55612</f>
        <v>72116.556119999994</v>
      </c>
      <c r="J240" s="35">
        <f>F240 * G240 * 0</f>
        <v>0</v>
      </c>
      <c r="K240" s="35">
        <f>F240 * G240 * 1898.640048</f>
        <v>1898.640048</v>
      </c>
      <c r="L240" s="35">
        <f>F240 * G240 * 7981.004427</f>
        <v>7981.0044269999999</v>
      </c>
      <c r="M240" s="35">
        <f>F240 * G240 * 398.87396</f>
        <v>398.87396000000001</v>
      </c>
      <c r="N240" s="36">
        <f>SUM(H240:M240)</f>
        <v>84389.444352999999</v>
      </c>
      <c r="O240" s="71">
        <f t="shared" ref="O240:O241" si="81">N240*1.07*1.09*1.05</f>
        <v>103344.57939634912</v>
      </c>
      <c r="P240" s="37">
        <f t="shared" ref="P240:P241" si="82">IF($P$9&gt;0,O240/$P$9/12,0)</f>
        <v>0.69609184311583361</v>
      </c>
    </row>
    <row r="241" spans="2:16" x14ac:dyDescent="0.25">
      <c r="B241" s="30">
        <v>141</v>
      </c>
      <c r="C241" s="31" t="s">
        <v>555</v>
      </c>
      <c r="D241" s="32" t="s">
        <v>556</v>
      </c>
      <c r="E241" s="32" t="s">
        <v>557</v>
      </c>
      <c r="F241" s="33">
        <v>2.3E-2</v>
      </c>
      <c r="G241" s="34">
        <v>1</v>
      </c>
      <c r="H241" s="35">
        <f>F241 * G241 * 19079.1612</f>
        <v>438.82070759999993</v>
      </c>
      <c r="I241" s="35">
        <f>F241 * G241 * 316757.617945</f>
        <v>7285.4252127350001</v>
      </c>
      <c r="J241" s="35">
        <f>F241 * G241 * 0</f>
        <v>0</v>
      </c>
      <c r="K241" s="35">
        <f>F241 * G241 * 18163.361462</f>
        <v>417.75731362599998</v>
      </c>
      <c r="L241" s="35">
        <f>F241 * G241 * 37170.014764</f>
        <v>854.910339572</v>
      </c>
      <c r="M241" s="35">
        <f>F241 * G241 * 3815.83224</f>
        <v>87.76414152000001</v>
      </c>
      <c r="N241" s="36">
        <f>SUM(H241:M241)</f>
        <v>9084.6777150529997</v>
      </c>
      <c r="O241" s="71">
        <f t="shared" si="81"/>
        <v>11125.23260001963</v>
      </c>
      <c r="P241" s="37">
        <f t="shared" si="82"/>
        <v>7.493555744166687E-2</v>
      </c>
    </row>
    <row r="242" spans="2:16" x14ac:dyDescent="0.25">
      <c r="B242" s="38"/>
      <c r="C242" s="39" t="s">
        <v>558</v>
      </c>
      <c r="D242" s="40" t="s">
        <v>559</v>
      </c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2:16" x14ac:dyDescent="0.25">
      <c r="B243" s="38"/>
      <c r="C243" s="39" t="s">
        <v>560</v>
      </c>
      <c r="D243" s="41" t="s">
        <v>561</v>
      </c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</row>
    <row r="244" spans="2:16" ht="45" x14ac:dyDescent="0.25">
      <c r="B244" s="30">
        <v>142</v>
      </c>
      <c r="C244" s="31" t="s">
        <v>562</v>
      </c>
      <c r="D244" s="32" t="s">
        <v>563</v>
      </c>
      <c r="E244" s="32" t="s">
        <v>94</v>
      </c>
      <c r="F244" s="33">
        <v>2.5000000000000001E-2</v>
      </c>
      <c r="G244" s="34">
        <v>1</v>
      </c>
      <c r="H244" s="35">
        <f>F244 * G244 * 9771.467841</f>
        <v>244.286696025</v>
      </c>
      <c r="I244" s="35">
        <f>F244 * G244 * 2131.087483</f>
        <v>53.277187075000001</v>
      </c>
      <c r="J244" s="35">
        <f>F244 * G244 * 0</f>
        <v>0</v>
      </c>
      <c r="K244" s="35">
        <f>F244 * G244 * 9302.437385</f>
        <v>232.56093462499999</v>
      </c>
      <c r="L244" s="35">
        <f>F244 * G244 * 2226.524235</f>
        <v>55.663105874999999</v>
      </c>
      <c r="M244" s="35">
        <f>F244 * G244 * 1954.293568</f>
        <v>48.857339200000006</v>
      </c>
      <c r="N244" s="36">
        <f>SUM(H244:M244)</f>
        <v>634.64526279999995</v>
      </c>
      <c r="O244" s="71">
        <f>N244*1.07*1.09*1.05</f>
        <v>777.19610850382207</v>
      </c>
      <c r="P244" s="37">
        <f t="shared" ref="P244" si="83">IF($P$9&gt;0,O244/$P$9/12,0)</f>
        <v>5.2349128981020454E-3</v>
      </c>
    </row>
    <row r="245" spans="2:16" x14ac:dyDescent="0.25">
      <c r="B245" s="38"/>
      <c r="C245" s="39" t="s">
        <v>564</v>
      </c>
      <c r="D245" s="40" t="s">
        <v>565</v>
      </c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2:16" ht="30" x14ac:dyDescent="0.25">
      <c r="B246" s="30">
        <v>143</v>
      </c>
      <c r="C246" s="31" t="s">
        <v>566</v>
      </c>
      <c r="D246" s="32" t="s">
        <v>567</v>
      </c>
      <c r="E246" s="32" t="s">
        <v>36</v>
      </c>
      <c r="F246" s="33">
        <v>0.02</v>
      </c>
      <c r="G246" s="34">
        <v>1</v>
      </c>
      <c r="H246" s="35">
        <f>F246 * G246 * 17434.50885</f>
        <v>348.69017699999995</v>
      </c>
      <c r="I246" s="35">
        <f>F246 * G246 * 16826.694664</f>
        <v>336.53389327999997</v>
      </c>
      <c r="J246" s="35">
        <f>F246 * G246 * 0</f>
        <v>0</v>
      </c>
      <c r="K246" s="35">
        <f>F246 * G246 * 16597.652425</f>
        <v>331.95304850000002</v>
      </c>
      <c r="L246" s="35">
        <f>F246 * G246 * 5340.179874</f>
        <v>106.80359748000001</v>
      </c>
      <c r="M246" s="35">
        <f>F246 * G246 * 3486.90177</f>
        <v>69.738035400000001</v>
      </c>
      <c r="N246" s="36">
        <f>SUM(H246:M246)</f>
        <v>1193.71875166</v>
      </c>
      <c r="O246" s="71">
        <f t="shared" ref="O246:O250" si="84">N246*1.07*1.09*1.05</f>
        <v>1461.8458890641111</v>
      </c>
      <c r="P246" s="37">
        <f t="shared" ref="P246:P250" si="85">IF($P$9&gt;0,O246/$P$9/12,0)</f>
        <v>9.8464670833610241E-3</v>
      </c>
    </row>
    <row r="247" spans="2:16" ht="30" x14ac:dyDescent="0.25">
      <c r="B247" s="30">
        <v>144</v>
      </c>
      <c r="C247" s="31" t="s">
        <v>568</v>
      </c>
      <c r="D247" s="32" t="s">
        <v>569</v>
      </c>
      <c r="E247" s="32" t="s">
        <v>36</v>
      </c>
      <c r="F247" s="33">
        <v>0.02</v>
      </c>
      <c r="G247" s="34">
        <v>1</v>
      </c>
      <c r="H247" s="35">
        <f>F247 * G247 * 22169.80755</f>
        <v>443.39615100000003</v>
      </c>
      <c r="I247" s="35">
        <f>F247 * G247 * 36609.903529</f>
        <v>732.19807058000004</v>
      </c>
      <c r="J247" s="35">
        <f>F247 * G247 * 0</f>
        <v>0</v>
      </c>
      <c r="K247" s="35">
        <f>F247 * G247 * 21105.656788</f>
        <v>422.11313576000003</v>
      </c>
      <c r="L247" s="35">
        <f>F247 * G247 * 8387.963626</f>
        <v>167.75927252000002</v>
      </c>
      <c r="M247" s="35">
        <f>F247 * G247 * 4433.96151</f>
        <v>88.679230200000006</v>
      </c>
      <c r="N247" s="36">
        <f>SUM(H247:M247)</f>
        <v>1854.1458600599999</v>
      </c>
      <c r="O247" s="71">
        <f t="shared" si="84"/>
        <v>2270.6148324173773</v>
      </c>
      <c r="P247" s="37">
        <f t="shared" si="85"/>
        <v>1.529404321867508E-2</v>
      </c>
    </row>
    <row r="248" spans="2:16" ht="30" x14ac:dyDescent="0.25">
      <c r="B248" s="30">
        <v>145</v>
      </c>
      <c r="C248" s="31" t="s">
        <v>570</v>
      </c>
      <c r="D248" s="32" t="s">
        <v>571</v>
      </c>
      <c r="E248" s="32" t="s">
        <v>36</v>
      </c>
      <c r="F248" s="33">
        <v>0.02</v>
      </c>
      <c r="G248" s="34">
        <v>1</v>
      </c>
      <c r="H248" s="35">
        <f>F248 * G248 * 28627.03305</f>
        <v>572.540661</v>
      </c>
      <c r="I248" s="35">
        <f>F248 * G248 * 98181.586884</f>
        <v>1963.63173768</v>
      </c>
      <c r="J248" s="35">
        <f>F248 * G248 * 0</f>
        <v>0</v>
      </c>
      <c r="K248" s="35">
        <f>F248 * G248 * 27252.935464</f>
        <v>545.05870928000002</v>
      </c>
      <c r="L248" s="35">
        <f>F248 * G248 * 16176.463317</f>
        <v>323.52926633999999</v>
      </c>
      <c r="M248" s="35">
        <f>F248 * G248 * 5725.40661</f>
        <v>114.50813220000001</v>
      </c>
      <c r="N248" s="36">
        <f>SUM(H248:M248)</f>
        <v>3519.2685065000001</v>
      </c>
      <c r="O248" s="71">
        <f t="shared" si="84"/>
        <v>4309.7490020874984</v>
      </c>
      <c r="P248" s="37">
        <f t="shared" si="85"/>
        <v>2.9028916114933575E-2</v>
      </c>
    </row>
    <row r="249" spans="2:16" x14ac:dyDescent="0.25">
      <c r="B249" s="30">
        <v>146</v>
      </c>
      <c r="C249" s="31" t="s">
        <v>572</v>
      </c>
      <c r="D249" s="32" t="s">
        <v>573</v>
      </c>
      <c r="E249" s="32" t="s">
        <v>36</v>
      </c>
      <c r="F249" s="33">
        <v>0.01</v>
      </c>
      <c r="G249" s="34">
        <v>1</v>
      </c>
      <c r="H249" s="35">
        <f>F249 * G249 * 66294.1818</f>
        <v>662.94181800000013</v>
      </c>
      <c r="I249" s="35">
        <f>F249 * G249 * 210685.820044</f>
        <v>2106.85820044</v>
      </c>
      <c r="J249" s="35">
        <f>F249 * G249 * 0</f>
        <v>0</v>
      </c>
      <c r="K249" s="35">
        <f>F249 * G249 * 63112.061074</f>
        <v>631.12061073999996</v>
      </c>
      <c r="L249" s="35">
        <f>F249 * G249 * 35709.666607</f>
        <v>357.09666607000003</v>
      </c>
      <c r="M249" s="35">
        <f>F249 * G249 * 13258.83636</f>
        <v>132.58836360000001</v>
      </c>
      <c r="N249" s="36">
        <f>SUM(H249:M249)</f>
        <v>3890.6056588500001</v>
      </c>
      <c r="O249" s="71">
        <f t="shared" si="84"/>
        <v>4764.4940489125938</v>
      </c>
      <c r="P249" s="37">
        <f t="shared" si="85"/>
        <v>3.2091914867662157E-2</v>
      </c>
    </row>
    <row r="250" spans="2:16" x14ac:dyDescent="0.25">
      <c r="B250" s="30">
        <v>147</v>
      </c>
      <c r="C250" s="31" t="s">
        <v>574</v>
      </c>
      <c r="D250" s="32" t="s">
        <v>575</v>
      </c>
      <c r="E250" s="32" t="s">
        <v>36</v>
      </c>
      <c r="F250" s="33">
        <v>0.01</v>
      </c>
      <c r="G250" s="34">
        <v>1</v>
      </c>
      <c r="H250" s="35">
        <f>F250 * G250 * 90831.6387</f>
        <v>908.31638699999996</v>
      </c>
      <c r="I250" s="35">
        <f>F250 * G250 * 502096.930816</f>
        <v>5020.9693081599999</v>
      </c>
      <c r="J250" s="35">
        <f>F250 * G250 * 0</f>
        <v>0</v>
      </c>
      <c r="K250" s="35">
        <f>F250 * G250 * 86471.720042</f>
        <v>864.71720042000004</v>
      </c>
      <c r="L250" s="35">
        <f>F250 * G250 * 71337.0304039999</f>
        <v>713.37030403999904</v>
      </c>
      <c r="M250" s="35">
        <f>F250 * G250 * 18166.32774</f>
        <v>181.6632774</v>
      </c>
      <c r="N250" s="36">
        <f>SUM(H250:M250)</f>
        <v>7689.0364770199985</v>
      </c>
      <c r="O250" s="71">
        <f t="shared" si="84"/>
        <v>9416.1094053058459</v>
      </c>
      <c r="P250" s="37">
        <f t="shared" si="85"/>
        <v>6.34235195421506E-2</v>
      </c>
    </row>
    <row r="251" spans="2:16" x14ac:dyDescent="0.25">
      <c r="B251" s="27"/>
      <c r="C251" s="28" t="s">
        <v>576</v>
      </c>
      <c r="D251" s="29" t="s">
        <v>577</v>
      </c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</row>
    <row r="252" spans="2:16" x14ac:dyDescent="0.25">
      <c r="B252" s="38"/>
      <c r="C252" s="39" t="s">
        <v>578</v>
      </c>
      <c r="D252" s="40" t="s">
        <v>579</v>
      </c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2:16" ht="45" x14ac:dyDescent="0.25">
      <c r="B253" s="30">
        <v>148</v>
      </c>
      <c r="C253" s="31" t="s">
        <v>580</v>
      </c>
      <c r="D253" s="32" t="s">
        <v>581</v>
      </c>
      <c r="E253" s="32" t="s">
        <v>462</v>
      </c>
      <c r="F253" s="33">
        <v>0.04</v>
      </c>
      <c r="G253" s="34">
        <v>1</v>
      </c>
      <c r="H253" s="35">
        <f>F253 * G253 * 13566.6558</f>
        <v>542.66623200000004</v>
      </c>
      <c r="I253" s="35">
        <f>F253 * G253 * 19890.975668</f>
        <v>795.63902671999995</v>
      </c>
      <c r="J253" s="35">
        <f>F253 * G253 * 0</f>
        <v>0</v>
      </c>
      <c r="K253" s="35">
        <f>F253 * G253 * 12915.456322</f>
        <v>516.61825288</v>
      </c>
      <c r="L253" s="35">
        <f>F253 * G253 * 4869.174218</f>
        <v>194.76696872000002</v>
      </c>
      <c r="M253" s="35">
        <f>F253 * G253 * 2713.33116</f>
        <v>108.53324640000001</v>
      </c>
      <c r="N253" s="36">
        <f>SUM(H253:M253)</f>
        <v>2158.2237267199998</v>
      </c>
      <c r="O253" s="71">
        <f t="shared" ref="O253:O256" si="86">N253*1.07*1.09*1.05</f>
        <v>2642.9931490972131</v>
      </c>
      <c r="P253" s="37">
        <f t="shared" ref="P253:P256" si="87">IF($P$9&gt;0,O253/$P$9/12,0)</f>
        <v>1.7802249360769028E-2</v>
      </c>
    </row>
    <row r="254" spans="2:16" ht="45" x14ac:dyDescent="0.25">
      <c r="B254" s="30">
        <v>149</v>
      </c>
      <c r="C254" s="31" t="s">
        <v>582</v>
      </c>
      <c r="D254" s="32" t="s">
        <v>583</v>
      </c>
      <c r="E254" s="32" t="s">
        <v>462</v>
      </c>
      <c r="F254" s="33">
        <v>0.02</v>
      </c>
      <c r="G254" s="34">
        <v>1</v>
      </c>
      <c r="H254" s="35">
        <f>F254 * G254 * 14379.725925</f>
        <v>287.59451849999999</v>
      </c>
      <c r="I254" s="35">
        <f>F254 * G254 * 33554.067547</f>
        <v>671.08135093999999</v>
      </c>
      <c r="J254" s="35">
        <f>F254 * G254 * 0</f>
        <v>0</v>
      </c>
      <c r="K254" s="35">
        <f>F254 * G254 * 13689.49908</f>
        <v>273.78998159999998</v>
      </c>
      <c r="L254" s="35">
        <f>F254 * G254 * 6470.445718</f>
        <v>129.40891436000001</v>
      </c>
      <c r="M254" s="35">
        <f>F254 * G254 * 2875.945185</f>
        <v>57.518903700000003</v>
      </c>
      <c r="N254" s="36">
        <f>SUM(H254:M254)</f>
        <v>1419.3936690999999</v>
      </c>
      <c r="O254" s="71">
        <f t="shared" si="86"/>
        <v>1738.2107780848969</v>
      </c>
      <c r="P254" s="37">
        <f t="shared" si="87"/>
        <v>1.1707961378414275E-2</v>
      </c>
    </row>
    <row r="255" spans="2:16" ht="45" x14ac:dyDescent="0.25">
      <c r="B255" s="30">
        <v>150</v>
      </c>
      <c r="C255" s="31" t="s">
        <v>584</v>
      </c>
      <c r="D255" s="32" t="s">
        <v>585</v>
      </c>
      <c r="E255" s="32" t="s">
        <v>462</v>
      </c>
      <c r="F255" s="33">
        <v>0.05</v>
      </c>
      <c r="G255" s="34">
        <v>1</v>
      </c>
      <c r="H255" s="35">
        <f>F255 * G255 * 13566.6558</f>
        <v>678.33279000000005</v>
      </c>
      <c r="I255" s="35">
        <f>F255 * G255 * 19890.975668</f>
        <v>994.54878340000005</v>
      </c>
      <c r="J255" s="35">
        <f>F255 * G255 * 0</f>
        <v>0</v>
      </c>
      <c r="K255" s="35">
        <f>F255 * G255 * 12915.456322</f>
        <v>645.7728161</v>
      </c>
      <c r="L255" s="35">
        <f>F255 * G255 * 4869.174218</f>
        <v>243.45871090000003</v>
      </c>
      <c r="M255" s="35">
        <f>F255 * G255 * 2713.33116</f>
        <v>135.66655800000001</v>
      </c>
      <c r="N255" s="36">
        <f>SUM(H255:M255)</f>
        <v>2697.7796583999998</v>
      </c>
      <c r="O255" s="71">
        <f t="shared" si="86"/>
        <v>3303.7414363715161</v>
      </c>
      <c r="P255" s="37">
        <f t="shared" si="87"/>
        <v>2.2252811700961286E-2</v>
      </c>
    </row>
    <row r="256" spans="2:16" ht="45" x14ac:dyDescent="0.25">
      <c r="B256" s="30">
        <v>151</v>
      </c>
      <c r="C256" s="31" t="s">
        <v>586</v>
      </c>
      <c r="D256" s="32" t="s">
        <v>587</v>
      </c>
      <c r="E256" s="32" t="s">
        <v>462</v>
      </c>
      <c r="F256" s="33">
        <v>7.0000000000000007E-2</v>
      </c>
      <c r="G256" s="34">
        <v>1</v>
      </c>
      <c r="H256" s="35">
        <f>F256 * G256 * 14379.725925</f>
        <v>1006.5808147500002</v>
      </c>
      <c r="I256" s="35">
        <f>F256 * G256 * 33554.067547</f>
        <v>2348.7847282900002</v>
      </c>
      <c r="J256" s="35">
        <f>F256 * G256 * 0</f>
        <v>0</v>
      </c>
      <c r="K256" s="35">
        <f>F256 * G256 * 13689.49908</f>
        <v>958.26493560000006</v>
      </c>
      <c r="L256" s="35">
        <f>F256 * G256 * 6470.445718</f>
        <v>452.93120026000003</v>
      </c>
      <c r="M256" s="35">
        <f>F256 * G256 * 2875.945185</f>
        <v>201.31616295000003</v>
      </c>
      <c r="N256" s="36">
        <f>SUM(H256:M256)</f>
        <v>4967.8778418500006</v>
      </c>
      <c r="O256" s="71">
        <f t="shared" si="86"/>
        <v>6083.7377232971385</v>
      </c>
      <c r="P256" s="37">
        <f t="shared" si="87"/>
        <v>4.0977864824449955E-2</v>
      </c>
    </row>
    <row r="257" spans="2:16" x14ac:dyDescent="0.25">
      <c r="B257" s="38"/>
      <c r="C257" s="39" t="s">
        <v>588</v>
      </c>
      <c r="D257" s="40" t="s">
        <v>589</v>
      </c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2:16" ht="45" x14ac:dyDescent="0.25">
      <c r="B258" s="30">
        <v>152</v>
      </c>
      <c r="C258" s="31" t="s">
        <v>590</v>
      </c>
      <c r="D258" s="32" t="s">
        <v>591</v>
      </c>
      <c r="E258" s="32" t="s">
        <v>462</v>
      </c>
      <c r="F258" s="33">
        <v>0.03</v>
      </c>
      <c r="G258" s="34">
        <v>1</v>
      </c>
      <c r="H258" s="35">
        <f>F258 * G258 * 51293.1096</f>
        <v>1538.7932880000001</v>
      </c>
      <c r="I258" s="35">
        <f>F258 * G258 * 138373.176918</f>
        <v>4151.1953075400006</v>
      </c>
      <c r="J258" s="35">
        <f>F258 * G258 * 0</f>
        <v>0</v>
      </c>
      <c r="K258" s="35">
        <f>F258 * G258 * 48831.040339</f>
        <v>1464.93121017</v>
      </c>
      <c r="L258" s="35">
        <f>F258 * G258 * 25042.21932</f>
        <v>751.2665796</v>
      </c>
      <c r="M258" s="35">
        <f>F258 * G258 * 10258.62192</f>
        <v>307.75865759999999</v>
      </c>
      <c r="N258" s="36">
        <f>SUM(H258:M258)</f>
        <v>8213.9450429099998</v>
      </c>
      <c r="O258" s="71">
        <f t="shared" ref="O258:O259" si="88">N258*1.07*1.09*1.05</f>
        <v>10058.920308723231</v>
      </c>
      <c r="P258" s="37">
        <f t="shared" ref="P258:P259" si="89">IF($P$9&gt;0,O258/$P$9/12,0)</f>
        <v>6.7753262129022732E-2</v>
      </c>
    </row>
    <row r="259" spans="2:16" ht="45" x14ac:dyDescent="0.25">
      <c r="B259" s="30">
        <v>153</v>
      </c>
      <c r="C259" s="31" t="s">
        <v>592</v>
      </c>
      <c r="D259" s="32" t="s">
        <v>593</v>
      </c>
      <c r="E259" s="32" t="s">
        <v>462</v>
      </c>
      <c r="F259" s="33">
        <v>0.03</v>
      </c>
      <c r="G259" s="34">
        <v>1</v>
      </c>
      <c r="H259" s="35">
        <f>F259 * G259 * 54243.392625</f>
        <v>1627.30177875</v>
      </c>
      <c r="I259" s="35">
        <f>F259 * G259 * 206723.073676</f>
        <v>6201.6922102799999</v>
      </c>
      <c r="J259" s="35">
        <f>F259 * G259 * 0</f>
        <v>0</v>
      </c>
      <c r="K259" s="35">
        <f>F259 * G259 * 51639.709779</f>
        <v>1549.1912933699998</v>
      </c>
      <c r="L259" s="35">
        <f>F259 * G259 * 32823.648488</f>
        <v>984.70945463999988</v>
      </c>
      <c r="M259" s="35">
        <f>F259 * G259 * 10848.678525</f>
        <v>325.46035574999996</v>
      </c>
      <c r="N259" s="36">
        <f>SUM(H259:M259)</f>
        <v>10688.35509279</v>
      </c>
      <c r="O259" s="71">
        <f t="shared" si="88"/>
        <v>13089.119971957025</v>
      </c>
      <c r="P259" s="37">
        <f t="shared" si="89"/>
        <v>8.8163595026114247E-2</v>
      </c>
    </row>
    <row r="260" spans="2:16" x14ac:dyDescent="0.25">
      <c r="B260" s="38"/>
      <c r="C260" s="39" t="s">
        <v>594</v>
      </c>
      <c r="D260" s="40" t="s">
        <v>595</v>
      </c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2:16" x14ac:dyDescent="0.25">
      <c r="B261" s="38"/>
      <c r="C261" s="39" t="s">
        <v>596</v>
      </c>
      <c r="D261" s="41" t="s">
        <v>597</v>
      </c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</row>
    <row r="262" spans="2:16" ht="30" x14ac:dyDescent="0.25">
      <c r="B262" s="30">
        <v>154</v>
      </c>
      <c r="C262" s="31" t="s">
        <v>598</v>
      </c>
      <c r="D262" s="32" t="s">
        <v>599</v>
      </c>
      <c r="E262" s="32" t="s">
        <v>600</v>
      </c>
      <c r="F262" s="33">
        <v>0.06</v>
      </c>
      <c r="G262" s="34">
        <v>1</v>
      </c>
      <c r="H262" s="35">
        <f>F262 * G262 * 9312.263</f>
        <v>558.73577999999998</v>
      </c>
      <c r="I262" s="35">
        <f>F262 * G262 * 1542.38468</f>
        <v>92.543080799999984</v>
      </c>
      <c r="J262" s="35">
        <f>F262 * G262 * 0</f>
        <v>0</v>
      </c>
      <c r="K262" s="35">
        <f>F262 * G262 * 8865.274376</f>
        <v>531.9164625599999</v>
      </c>
      <c r="L262" s="35">
        <f>F262 * G262 * 2070.591816</f>
        <v>124.23550896</v>
      </c>
      <c r="M262" s="35">
        <f>F262 * G262 * 1862.4526</f>
        <v>111.747156</v>
      </c>
      <c r="N262" s="36">
        <f>SUM(H262:M262)</f>
        <v>1419.1779883199997</v>
      </c>
      <c r="O262" s="71">
        <f t="shared" ref="O262:O265" si="90">N262*1.07*1.09*1.05</f>
        <v>1737.9466521664967</v>
      </c>
      <c r="P262" s="37">
        <f t="shared" ref="P262:P265" si="91">IF($P$9&gt;0,O262/$P$9/12,0)</f>
        <v>1.1706182321414597E-2</v>
      </c>
    </row>
    <row r="263" spans="2:16" ht="30" x14ac:dyDescent="0.25">
      <c r="B263" s="30">
        <v>155</v>
      </c>
      <c r="C263" s="31" t="s">
        <v>601</v>
      </c>
      <c r="D263" s="32" t="s">
        <v>602</v>
      </c>
      <c r="E263" s="32" t="s">
        <v>603</v>
      </c>
      <c r="F263" s="33">
        <v>0.12</v>
      </c>
      <c r="G263" s="34">
        <v>1</v>
      </c>
      <c r="H263" s="35">
        <f>F263 * G263 * 2044.64905</f>
        <v>245.35788599999998</v>
      </c>
      <c r="I263" s="35">
        <f>F263 * G263 * 732.256258</f>
        <v>87.870750959999995</v>
      </c>
      <c r="J263" s="35">
        <f>F263 * G263 * 0</f>
        <v>0</v>
      </c>
      <c r="K263" s="35">
        <f>F263 * G263 * 1946.505896</f>
        <v>233.58070751999998</v>
      </c>
      <c r="L263" s="35">
        <f>F263 * G263 * 495.958176</f>
        <v>59.514981119999995</v>
      </c>
      <c r="M263" s="35">
        <f>F263 * G263 * 408.92981</f>
        <v>49.071577199999993</v>
      </c>
      <c r="N263" s="36">
        <f>SUM(H263:M263)</f>
        <v>675.39590279999993</v>
      </c>
      <c r="O263" s="71">
        <f t="shared" si="90"/>
        <v>827.09995350742201</v>
      </c>
      <c r="P263" s="37">
        <f t="shared" si="91"/>
        <v>5.571047213515882E-3</v>
      </c>
    </row>
    <row r="264" spans="2:16" ht="30" x14ac:dyDescent="0.25">
      <c r="B264" s="30">
        <v>156</v>
      </c>
      <c r="C264" s="31" t="s">
        <v>604</v>
      </c>
      <c r="D264" s="32" t="s">
        <v>605</v>
      </c>
      <c r="E264" s="32" t="s">
        <v>606</v>
      </c>
      <c r="F264" s="33">
        <v>0.03</v>
      </c>
      <c r="G264" s="34">
        <v>1</v>
      </c>
      <c r="H264" s="35">
        <f>F264 * G264 * 6275.6555</f>
        <v>188.26966499999997</v>
      </c>
      <c r="I264" s="35">
        <f>F264 * G264 * 110947.389984</f>
        <v>3328.4216995199995</v>
      </c>
      <c r="J264" s="35">
        <f>F264 * G264 * 0</f>
        <v>0</v>
      </c>
      <c r="K264" s="35">
        <f>F264 * G264 * 5974.424036</f>
        <v>179.23272108</v>
      </c>
      <c r="L264" s="35">
        <f>F264 * G264 * 12935.7343</f>
        <v>388.07202899999999</v>
      </c>
      <c r="M264" s="35">
        <f>F264 * G264 * 1255.1311</f>
        <v>37.653933000000002</v>
      </c>
      <c r="N264" s="36">
        <f>SUM(H264:M264)</f>
        <v>4121.6500475999992</v>
      </c>
      <c r="O264" s="71">
        <f t="shared" si="90"/>
        <v>5047.4344730416733</v>
      </c>
      <c r="P264" s="37">
        <f t="shared" si="91"/>
        <v>3.3997699597489446E-2</v>
      </c>
    </row>
    <row r="265" spans="2:16" ht="30" x14ac:dyDescent="0.25">
      <c r="B265" s="30">
        <v>157</v>
      </c>
      <c r="C265" s="31" t="s">
        <v>607</v>
      </c>
      <c r="D265" s="32" t="s">
        <v>608</v>
      </c>
      <c r="E265" s="32" t="s">
        <v>609</v>
      </c>
      <c r="F265" s="33">
        <v>0.02</v>
      </c>
      <c r="G265" s="34">
        <v>1</v>
      </c>
      <c r="H265" s="35">
        <f>F265 * G265 * 10729.3465</f>
        <v>214.58693</v>
      </c>
      <c r="I265" s="35">
        <f>F265 * G265 * 3247.407215</f>
        <v>64.94814430000001</v>
      </c>
      <c r="J265" s="35">
        <f>F265 * G265 * 0</f>
        <v>0</v>
      </c>
      <c r="K265" s="35">
        <f>F265 * G265 * 10214.3378679999</f>
        <v>204.28675735999801</v>
      </c>
      <c r="L265" s="35">
        <f>F265 * G265 * 2540.064616</f>
        <v>50.801292320000002</v>
      </c>
      <c r="M265" s="35">
        <f>F265 * G265 * 2145.8693</f>
        <v>42.917386</v>
      </c>
      <c r="N265" s="36">
        <f>SUM(H265:M265)</f>
        <v>577.54050997999798</v>
      </c>
      <c r="O265" s="71">
        <f t="shared" si="90"/>
        <v>707.26477162915535</v>
      </c>
      <c r="P265" s="37">
        <f t="shared" si="91"/>
        <v>4.7638806150255642E-3</v>
      </c>
    </row>
    <row r="266" spans="2:16" x14ac:dyDescent="0.25">
      <c r="B266" s="38"/>
      <c r="C266" s="39" t="s">
        <v>610</v>
      </c>
      <c r="D266" s="40" t="s">
        <v>611</v>
      </c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2:16" ht="45" x14ac:dyDescent="0.25">
      <c r="B267" s="30">
        <v>158</v>
      </c>
      <c r="C267" s="31" t="s">
        <v>612</v>
      </c>
      <c r="D267" s="32" t="s">
        <v>613</v>
      </c>
      <c r="E267" s="32" t="s">
        <v>614</v>
      </c>
      <c r="F267" s="33">
        <v>2.46</v>
      </c>
      <c r="G267" s="34">
        <v>1</v>
      </c>
      <c r="H267" s="35">
        <f>F267 * G267 * 66.805365</f>
        <v>164.3411979</v>
      </c>
      <c r="I267" s="35">
        <f>F267 * G267 * 0</f>
        <v>0</v>
      </c>
      <c r="J267" s="35">
        <f>F267 * G267 * 0</f>
        <v>0</v>
      </c>
      <c r="K267" s="35">
        <f>F267 * G267 * 63.598707</f>
        <v>156.45281921999998</v>
      </c>
      <c r="L267" s="35">
        <f>F267 * G267 * 13.692427</f>
        <v>33.683370420000003</v>
      </c>
      <c r="M267" s="35">
        <f>F267 * G267 * 13.361073</f>
        <v>32.868239580000001</v>
      </c>
      <c r="N267" s="36">
        <f>SUM(H267:M267)</f>
        <v>387.34562712000002</v>
      </c>
      <c r="O267" s="71">
        <f t="shared" ref="O267:O268" si="92">N267*1.07*1.09*1.05</f>
        <v>474.3492651555589</v>
      </c>
      <c r="P267" s="37">
        <f t="shared" ref="P267:P268" si="93">IF($P$9&gt;0,O267/$P$9/12,0)</f>
        <v>3.1950457023625853E-3</v>
      </c>
    </row>
    <row r="268" spans="2:16" ht="45" x14ac:dyDescent="0.25">
      <c r="B268" s="30">
        <v>159</v>
      </c>
      <c r="C268" s="31" t="s">
        <v>615</v>
      </c>
      <c r="D268" s="32" t="s">
        <v>616</v>
      </c>
      <c r="E268" s="32" t="s">
        <v>614</v>
      </c>
      <c r="F268" s="33">
        <v>2.65</v>
      </c>
      <c r="G268" s="34">
        <v>1</v>
      </c>
      <c r="H268" s="35">
        <f>F268 * G268 * 105.26906</f>
        <v>278.963009</v>
      </c>
      <c r="I268" s="35">
        <f>F268 * G268 * 0</f>
        <v>0</v>
      </c>
      <c r="J268" s="35">
        <f>F268 * G268 * 0</f>
        <v>0</v>
      </c>
      <c r="K268" s="35">
        <f>F268 * G268 * 100.216145</f>
        <v>265.57278424999998</v>
      </c>
      <c r="L268" s="35">
        <f>F268 * G268 * 21.575947</f>
        <v>57.176259549999997</v>
      </c>
      <c r="M268" s="35">
        <f>F268 * G268 * 21.053812</f>
        <v>55.7926018</v>
      </c>
      <c r="N268" s="36">
        <f>SUM(H268:M268)</f>
        <v>657.50465460000009</v>
      </c>
      <c r="O268" s="71">
        <f t="shared" si="92"/>
        <v>805.19006259297919</v>
      </c>
      <c r="P268" s="37">
        <f t="shared" si="93"/>
        <v>5.423470084282918E-3</v>
      </c>
    </row>
    <row r="269" spans="2:16" x14ac:dyDescent="0.25">
      <c r="B269" s="38"/>
      <c r="C269" s="39" t="s">
        <v>617</v>
      </c>
      <c r="D269" s="40" t="s">
        <v>618</v>
      </c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2:16" ht="30" x14ac:dyDescent="0.25">
      <c r="B270" s="30">
        <v>160</v>
      </c>
      <c r="C270" s="31" t="s">
        <v>619</v>
      </c>
      <c r="D270" s="32" t="s">
        <v>620</v>
      </c>
      <c r="E270" s="32" t="s">
        <v>94</v>
      </c>
      <c r="F270" s="33">
        <v>0.55000000000000004</v>
      </c>
      <c r="G270" s="34">
        <v>1</v>
      </c>
      <c r="H270" s="35">
        <f>F270 * G270 * 15376.421476</f>
        <v>8457.0318117999996</v>
      </c>
      <c r="I270" s="35">
        <f>F270 * G270 * 3557.504725</f>
        <v>1956.6275987500001</v>
      </c>
      <c r="J270" s="35">
        <f>F270 * G270 * 0</f>
        <v>0</v>
      </c>
      <c r="K270" s="35">
        <f>F270 * G270 * 14638.3532449999</f>
        <v>8051.0942847499455</v>
      </c>
      <c r="L270" s="35">
        <f>F270 * G270 * 3525.089342</f>
        <v>1938.7991381000002</v>
      </c>
      <c r="M270" s="35">
        <f>F270 * G270 * 3075.284295</f>
        <v>1691.40636225</v>
      </c>
      <c r="N270" s="36">
        <f>SUM(H270:M270)</f>
        <v>22094.959195649943</v>
      </c>
      <c r="O270" s="71">
        <f>N270*1.07*1.09*1.05</f>
        <v>27057.818455380857</v>
      </c>
      <c r="P270" s="37">
        <f t="shared" ref="P270" si="94">IF($P$9&gt;0,O270/$P$9/12,0)</f>
        <v>0.1822517139197439</v>
      </c>
    </row>
    <row r="271" spans="2:16" x14ac:dyDescent="0.25">
      <c r="B271" s="38"/>
      <c r="C271" s="39" t="s">
        <v>621</v>
      </c>
      <c r="D271" s="40" t="s">
        <v>622</v>
      </c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2:16" ht="30" x14ac:dyDescent="0.25">
      <c r="B272" s="30">
        <v>161</v>
      </c>
      <c r="C272" s="31" t="s">
        <v>623</v>
      </c>
      <c r="D272" s="32" t="s">
        <v>624</v>
      </c>
      <c r="E272" s="32" t="s">
        <v>625</v>
      </c>
      <c r="F272" s="33">
        <v>0.03</v>
      </c>
      <c r="G272" s="34">
        <v>1</v>
      </c>
      <c r="H272" s="35">
        <f>F272 * G272 * 13764.2656</f>
        <v>412.92796800000002</v>
      </c>
      <c r="I272" s="35">
        <f>F272 * G272 * 0</f>
        <v>0</v>
      </c>
      <c r="J272" s="35">
        <f>F272 * G272 * 0</f>
        <v>0</v>
      </c>
      <c r="K272" s="35">
        <f>F272 * G272 * 13103.5808509999</f>
        <v>393.10742552999699</v>
      </c>
      <c r="L272" s="35">
        <f>F272 * G272 * 2821.123877</f>
        <v>84.633716309999997</v>
      </c>
      <c r="M272" s="35">
        <f>F272 * G272 * 2752.85312</f>
        <v>82.58559360000001</v>
      </c>
      <c r="N272" s="36">
        <f>SUM(H272:M272)</f>
        <v>973.254703439997</v>
      </c>
      <c r="O272" s="71">
        <f t="shared" ref="O272:O273" si="95">N272*1.07*1.09*1.05</f>
        <v>1191.8623086531722</v>
      </c>
      <c r="P272" s="37">
        <f t="shared" ref="P272:P273" si="96">IF($P$9&gt;0,O272/$P$9/12,0)</f>
        <v>8.0279549833843378E-3</v>
      </c>
    </row>
    <row r="273" spans="2:16" ht="30" x14ac:dyDescent="0.25">
      <c r="B273" s="30">
        <v>162</v>
      </c>
      <c r="C273" s="31" t="s">
        <v>626</v>
      </c>
      <c r="D273" s="32" t="s">
        <v>627</v>
      </c>
      <c r="E273" s="32" t="s">
        <v>625</v>
      </c>
      <c r="F273" s="33">
        <v>0.02</v>
      </c>
      <c r="G273" s="34">
        <v>1</v>
      </c>
      <c r="H273" s="35">
        <f>F273 * G273 * 17065.2886</f>
        <v>341.30577199999999</v>
      </c>
      <c r="I273" s="35">
        <f>F273 * G273 * 0</f>
        <v>0</v>
      </c>
      <c r="J273" s="35">
        <f>F273 * G273 * 0</f>
        <v>0</v>
      </c>
      <c r="K273" s="35">
        <f>F273 * G273 * 16246.154747</f>
        <v>324.92309494</v>
      </c>
      <c r="L273" s="35">
        <f>F273 * G273 * 3497.701552</f>
        <v>69.954031040000004</v>
      </c>
      <c r="M273" s="35">
        <f>F273 * G273 * 3413.05772</f>
        <v>68.261154399999995</v>
      </c>
      <c r="N273" s="36">
        <f>SUM(H273:M273)</f>
        <v>804.44405238000002</v>
      </c>
      <c r="O273" s="71">
        <f t="shared" si="95"/>
        <v>985.13425320533395</v>
      </c>
      <c r="P273" s="37">
        <f t="shared" si="96"/>
        <v>6.6355093033013653E-3</v>
      </c>
    </row>
    <row r="274" spans="2:16" ht="28.5" x14ac:dyDescent="0.25">
      <c r="B274" s="27"/>
      <c r="C274" s="28" t="s">
        <v>314</v>
      </c>
      <c r="D274" s="29" t="s">
        <v>315</v>
      </c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</row>
    <row r="275" spans="2:16" x14ac:dyDescent="0.25">
      <c r="B275" s="38"/>
      <c r="C275" s="39" t="s">
        <v>628</v>
      </c>
      <c r="D275" s="40" t="s">
        <v>629</v>
      </c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2:16" ht="30" x14ac:dyDescent="0.25">
      <c r="B276" s="30">
        <v>163</v>
      </c>
      <c r="C276" s="31" t="s">
        <v>630</v>
      </c>
      <c r="D276" s="32" t="s">
        <v>631</v>
      </c>
      <c r="E276" s="32" t="s">
        <v>632</v>
      </c>
      <c r="F276" s="33">
        <v>2.14</v>
      </c>
      <c r="G276" s="34">
        <v>1</v>
      </c>
      <c r="H276" s="35">
        <f>F276 * G276 * 13682.472</f>
        <v>29280.49008</v>
      </c>
      <c r="I276" s="35">
        <f>F276 * G276 * 0</f>
        <v>0</v>
      </c>
      <c r="J276" s="35">
        <f>F276 * G276 * 0</f>
        <v>0</v>
      </c>
      <c r="K276" s="35">
        <f>F276 * G276 * 13025.713344</f>
        <v>27875.026556160003</v>
      </c>
      <c r="L276" s="35">
        <f>F276 * G276 * 2804.359461</f>
        <v>6001.32924654</v>
      </c>
      <c r="M276" s="35">
        <f>F276 * G276 * 2736.4944</f>
        <v>5856.0980160000008</v>
      </c>
      <c r="N276" s="36">
        <f>SUM(H276:M276)</f>
        <v>69012.943898700003</v>
      </c>
      <c r="O276" s="71">
        <f t="shared" ref="O276:O279" si="97">N276*1.07*1.09*1.05</f>
        <v>84514.286292506513</v>
      </c>
      <c r="P276" s="37">
        <f t="shared" ref="P276:P279" si="98">IF($P$9&gt;0,O276/$P$9/12,0)</f>
        <v>0.56925777489833573</v>
      </c>
    </row>
    <row r="277" spans="2:16" x14ac:dyDescent="0.25">
      <c r="B277" s="30">
        <v>164</v>
      </c>
      <c r="C277" s="31" t="s">
        <v>633</v>
      </c>
      <c r="D277" s="32" t="s">
        <v>634</v>
      </c>
      <c r="E277" s="32" t="s">
        <v>635</v>
      </c>
      <c r="F277" s="33">
        <v>501.22</v>
      </c>
      <c r="G277" s="34">
        <v>1</v>
      </c>
      <c r="H277" s="35">
        <f>F277 * G277 * 198.395844</f>
        <v>99439.964929680005</v>
      </c>
      <c r="I277" s="35">
        <f>F277 * G277 * 0</f>
        <v>0</v>
      </c>
      <c r="J277" s="35">
        <f>F277 * G277 * 0</f>
        <v>0</v>
      </c>
      <c r="K277" s="35">
        <f>F277 * G277 * 188.872844</f>
        <v>94666.846869679997</v>
      </c>
      <c r="L277" s="35">
        <f>F277 * G277 * 40.663212</f>
        <v>20381.215118640001</v>
      </c>
      <c r="M277" s="35">
        <f>F277 * G277 * 39.679169</f>
        <v>19887.993086180002</v>
      </c>
      <c r="N277" s="36">
        <f>SUM(H277:M277)</f>
        <v>234376.02000418003</v>
      </c>
      <c r="O277" s="71">
        <f t="shared" si="97"/>
        <v>287020.38973741897</v>
      </c>
      <c r="P277" s="37">
        <f t="shared" si="98"/>
        <v>1.9332659078121226</v>
      </c>
    </row>
    <row r="278" spans="2:16" x14ac:dyDescent="0.25">
      <c r="B278" s="30">
        <v>165</v>
      </c>
      <c r="C278" s="31" t="s">
        <v>636</v>
      </c>
      <c r="D278" s="32" t="s">
        <v>637</v>
      </c>
      <c r="E278" s="32" t="s">
        <v>638</v>
      </c>
      <c r="F278" s="33">
        <v>0.43</v>
      </c>
      <c r="G278" s="34">
        <v>1</v>
      </c>
      <c r="H278" s="35">
        <f>F278 * G278 * 7130.5956</f>
        <v>3066.1561079999997</v>
      </c>
      <c r="I278" s="35">
        <f>F278 * G278 * 732.256258</f>
        <v>314.87019093999999</v>
      </c>
      <c r="J278" s="35">
        <f>F278 * G278 * 0</f>
        <v>0</v>
      </c>
      <c r="K278" s="35">
        <f>F278 * G278 * 6788.32701099999</f>
        <v>2918.980614729996</v>
      </c>
      <c r="L278" s="35">
        <f>F278 * G278 * 1538.373781</f>
        <v>661.50072582999996</v>
      </c>
      <c r="M278" s="35">
        <f>F278 * G278 * 1426.11912</f>
        <v>613.23122160000003</v>
      </c>
      <c r="N278" s="36">
        <f>SUM(H278:M278)</f>
        <v>7574.738861099996</v>
      </c>
      <c r="O278" s="71">
        <f t="shared" si="97"/>
        <v>9276.1388303859731</v>
      </c>
      <c r="P278" s="37">
        <f t="shared" si="98"/>
        <v>6.24807281925987E-2</v>
      </c>
    </row>
    <row r="279" spans="2:16" x14ac:dyDescent="0.25">
      <c r="B279" s="30">
        <v>166</v>
      </c>
      <c r="C279" s="31" t="s">
        <v>639</v>
      </c>
      <c r="D279" s="32" t="s">
        <v>640</v>
      </c>
      <c r="E279" s="32" t="s">
        <v>335</v>
      </c>
      <c r="F279" s="33">
        <v>12.372</v>
      </c>
      <c r="G279" s="34">
        <v>1</v>
      </c>
      <c r="H279" s="35">
        <f>F279 * G279 * 850.2501</f>
        <v>10519.2942372</v>
      </c>
      <c r="I279" s="35">
        <f>F279 * G279 * 0</f>
        <v>0</v>
      </c>
      <c r="J279" s="35">
        <f>F279 * G279 * 0</f>
        <v>0</v>
      </c>
      <c r="K279" s="35">
        <f>F279 * G279 * 809.438095</f>
        <v>10014.36811134</v>
      </c>
      <c r="L279" s="35">
        <f>F279 * G279 * 174.267261</f>
        <v>2156.0345530919999</v>
      </c>
      <c r="M279" s="35">
        <f>F279 * G279 * 170.05002</f>
        <v>2103.8588474399999</v>
      </c>
      <c r="N279" s="36">
        <f>SUM(H279:M279)</f>
        <v>24793.555749071995</v>
      </c>
      <c r="O279" s="71">
        <f t="shared" si="97"/>
        <v>30362.560273649811</v>
      </c>
      <c r="P279" s="37">
        <f t="shared" si="98"/>
        <v>0.20451126383264503</v>
      </c>
    </row>
    <row r="280" spans="2:16" x14ac:dyDescent="0.25">
      <c r="B280" s="38"/>
      <c r="C280" s="39" t="s">
        <v>641</v>
      </c>
      <c r="D280" s="40" t="s">
        <v>642</v>
      </c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2:16" ht="28.5" x14ac:dyDescent="0.25">
      <c r="B281" s="38"/>
      <c r="C281" s="39" t="s">
        <v>643</v>
      </c>
      <c r="D281" s="41" t="s">
        <v>644</v>
      </c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</row>
    <row r="282" spans="2:16" ht="45" x14ac:dyDescent="0.25">
      <c r="B282" s="30">
        <v>167</v>
      </c>
      <c r="C282" s="31" t="s">
        <v>645</v>
      </c>
      <c r="D282" s="32" t="s">
        <v>646</v>
      </c>
      <c r="E282" s="32" t="s">
        <v>647</v>
      </c>
      <c r="F282" s="33">
        <v>2</v>
      </c>
      <c r="G282" s="34">
        <v>1</v>
      </c>
      <c r="H282" s="35">
        <f>F282 * G282 * 22.80412</f>
        <v>45.608240000000002</v>
      </c>
      <c r="I282" s="35">
        <f t="shared" ref="I282:I289" si="99">F282 * G282 * 0</f>
        <v>0</v>
      </c>
      <c r="J282" s="35">
        <f t="shared" ref="J282:J289" si="100">F282 * G282 * 0</f>
        <v>0</v>
      </c>
      <c r="K282" s="35">
        <f>F282 * G282 * 21.709522</f>
        <v>43.419044</v>
      </c>
      <c r="L282" s="35">
        <f>F282 * G282 * 4.673932</f>
        <v>9.3478639999999995</v>
      </c>
      <c r="M282" s="35">
        <f>F282 * G282 * 4.560824</f>
        <v>9.1216480000000004</v>
      </c>
      <c r="N282" s="36">
        <f t="shared" ref="N282:N289" si="101">SUM(H282:M282)</f>
        <v>107.49679600000002</v>
      </c>
      <c r="O282" s="71">
        <f t="shared" ref="O282:O289" si="102">N282*1.07*1.09*1.05</f>
        <v>131.64218883354005</v>
      </c>
      <c r="P282" s="37">
        <f t="shared" ref="P282:P289" si="103">IF($P$9&gt;0,O282/$P$9/12,0)</f>
        <v>8.8669434228863585E-4</v>
      </c>
    </row>
    <row r="283" spans="2:16" ht="30" x14ac:dyDescent="0.25">
      <c r="B283" s="30">
        <v>168</v>
      </c>
      <c r="C283" s="31" t="s">
        <v>648</v>
      </c>
      <c r="D283" s="32" t="s">
        <v>649</v>
      </c>
      <c r="E283" s="32" t="s">
        <v>647</v>
      </c>
      <c r="F283" s="33">
        <v>214</v>
      </c>
      <c r="G283" s="34">
        <v>4</v>
      </c>
      <c r="H283" s="35">
        <f>F283 * G283 * 20.24405</f>
        <v>17328.906800000001</v>
      </c>
      <c r="I283" s="35">
        <f t="shared" si="99"/>
        <v>0</v>
      </c>
      <c r="J283" s="35">
        <f t="shared" si="100"/>
        <v>0</v>
      </c>
      <c r="K283" s="35">
        <f>F283 * G283 * 19.272336</f>
        <v>16497.119616</v>
      </c>
      <c r="L283" s="35">
        <f>F283 * G283 * 4.149221</f>
        <v>3551.7331759999997</v>
      </c>
      <c r="M283" s="35">
        <f>F283 * G283 * 4.04881</f>
        <v>3465.7813599999995</v>
      </c>
      <c r="N283" s="36">
        <f t="shared" si="101"/>
        <v>40843.540952000003</v>
      </c>
      <c r="O283" s="71">
        <f t="shared" si="102"/>
        <v>50017.612902933484</v>
      </c>
      <c r="P283" s="37">
        <f t="shared" si="103"/>
        <v>0.33690061498365581</v>
      </c>
    </row>
    <row r="284" spans="2:16" ht="45" x14ac:dyDescent="0.25">
      <c r="B284" s="30">
        <v>169</v>
      </c>
      <c r="C284" s="31" t="s">
        <v>650</v>
      </c>
      <c r="D284" s="32" t="s">
        <v>651</v>
      </c>
      <c r="E284" s="32" t="s">
        <v>647</v>
      </c>
      <c r="F284" s="33">
        <v>2</v>
      </c>
      <c r="G284" s="34">
        <v>1</v>
      </c>
      <c r="H284" s="35">
        <f>F284 * G284 * 60.73215</f>
        <v>121.46429999999999</v>
      </c>
      <c r="I284" s="35">
        <f t="shared" si="99"/>
        <v>0</v>
      </c>
      <c r="J284" s="35">
        <f t="shared" si="100"/>
        <v>0</v>
      </c>
      <c r="K284" s="35">
        <f>F284 * G284 * 57.817006</f>
        <v>115.634012</v>
      </c>
      <c r="L284" s="35">
        <f>F284 * G284 * 12.447662</f>
        <v>24.895323999999999</v>
      </c>
      <c r="M284" s="35">
        <f>F284 * G284 * 12.14643</f>
        <v>24.292860000000001</v>
      </c>
      <c r="N284" s="36">
        <f t="shared" si="101"/>
        <v>286.286496</v>
      </c>
      <c r="O284" s="71">
        <f t="shared" si="102"/>
        <v>350.59073729904003</v>
      </c>
      <c r="P284" s="37">
        <f t="shared" si="103"/>
        <v>2.3614528592725511E-3</v>
      </c>
    </row>
    <row r="285" spans="2:16" ht="45" x14ac:dyDescent="0.25">
      <c r="B285" s="30">
        <v>170</v>
      </c>
      <c r="C285" s="31" t="s">
        <v>652</v>
      </c>
      <c r="D285" s="32" t="s">
        <v>653</v>
      </c>
      <c r="E285" s="32" t="s">
        <v>654</v>
      </c>
      <c r="F285" s="33">
        <v>2</v>
      </c>
      <c r="G285" s="34">
        <v>1</v>
      </c>
      <c r="H285" s="35">
        <f>F285 * G285 * 120.861836</f>
        <v>241.72367199999999</v>
      </c>
      <c r="I285" s="35">
        <f t="shared" si="99"/>
        <v>0</v>
      </c>
      <c r="J285" s="35">
        <f t="shared" si="100"/>
        <v>0</v>
      </c>
      <c r="K285" s="35">
        <f>F285 * G285 * 115.060466999999</f>
        <v>230.12093399999799</v>
      </c>
      <c r="L285" s="35">
        <f>F285 * G285 * 24.771842</f>
        <v>49.543683999999999</v>
      </c>
      <c r="M285" s="35">
        <f>F285 * G285 * 24.172367</f>
        <v>48.344734000000003</v>
      </c>
      <c r="N285" s="36">
        <f t="shared" si="101"/>
        <v>569.73302399999795</v>
      </c>
      <c r="O285" s="71">
        <f t="shared" si="102"/>
        <v>697.70360718575762</v>
      </c>
      <c r="P285" s="37">
        <f t="shared" si="103"/>
        <v>4.6994800570222929E-3</v>
      </c>
    </row>
    <row r="286" spans="2:16" ht="30" x14ac:dyDescent="0.25">
      <c r="B286" s="30">
        <v>171</v>
      </c>
      <c r="C286" s="31" t="s">
        <v>655</v>
      </c>
      <c r="D286" s="32" t="s">
        <v>656</v>
      </c>
      <c r="E286" s="32" t="s">
        <v>654</v>
      </c>
      <c r="F286" s="33">
        <v>2</v>
      </c>
      <c r="G286" s="34">
        <v>1</v>
      </c>
      <c r="H286" s="35">
        <f>F286 * G286 * 228.0412</f>
        <v>456.08240000000001</v>
      </c>
      <c r="I286" s="35">
        <f t="shared" si="99"/>
        <v>0</v>
      </c>
      <c r="J286" s="35">
        <f t="shared" si="100"/>
        <v>0</v>
      </c>
      <c r="K286" s="35">
        <f>F286 * G286 * 217.095221999999</f>
        <v>434.19044399999802</v>
      </c>
      <c r="L286" s="35">
        <f>F286 * G286 * 46.7393239999999</f>
        <v>93.478647999999794</v>
      </c>
      <c r="M286" s="35">
        <f>F286 * G286 * 45.60824</f>
        <v>91.216480000000004</v>
      </c>
      <c r="N286" s="36">
        <f t="shared" si="101"/>
        <v>1074.9679719999979</v>
      </c>
      <c r="O286" s="71">
        <f t="shared" si="102"/>
        <v>1316.4219030307777</v>
      </c>
      <c r="P286" s="37">
        <f t="shared" si="103"/>
        <v>8.8669435218691247E-3</v>
      </c>
    </row>
    <row r="287" spans="2:16" ht="30" x14ac:dyDescent="0.25">
      <c r="B287" s="30">
        <v>172</v>
      </c>
      <c r="C287" s="31" t="s">
        <v>657</v>
      </c>
      <c r="D287" s="32" t="s">
        <v>658</v>
      </c>
      <c r="E287" s="32" t="s">
        <v>647</v>
      </c>
      <c r="F287" s="33">
        <v>1</v>
      </c>
      <c r="G287" s="34">
        <v>1</v>
      </c>
      <c r="H287" s="35">
        <f>F287 * G287 * 45.60824</f>
        <v>45.608240000000002</v>
      </c>
      <c r="I287" s="35">
        <f t="shared" si="99"/>
        <v>0</v>
      </c>
      <c r="J287" s="35">
        <f t="shared" si="100"/>
        <v>0</v>
      </c>
      <c r="K287" s="35">
        <f>F287 * G287 * 43.419044</f>
        <v>43.419044</v>
      </c>
      <c r="L287" s="35">
        <f>F287 * G287 * 9.347864</f>
        <v>9.3478639999999995</v>
      </c>
      <c r="M287" s="35">
        <f>F287 * G287 * 9.121648</f>
        <v>9.1216480000000004</v>
      </c>
      <c r="N287" s="36">
        <f t="shared" si="101"/>
        <v>107.49679600000002</v>
      </c>
      <c r="O287" s="71">
        <f t="shared" si="102"/>
        <v>131.64218883354005</v>
      </c>
      <c r="P287" s="37">
        <f t="shared" si="103"/>
        <v>8.8669434228863585E-4</v>
      </c>
    </row>
    <row r="288" spans="2:16" ht="30" x14ac:dyDescent="0.25">
      <c r="B288" s="30">
        <v>173</v>
      </c>
      <c r="C288" s="31" t="s">
        <v>659</v>
      </c>
      <c r="D288" s="32" t="s">
        <v>660</v>
      </c>
      <c r="E288" s="32" t="s">
        <v>647</v>
      </c>
      <c r="F288" s="33">
        <v>2</v>
      </c>
      <c r="G288" s="34">
        <v>1</v>
      </c>
      <c r="H288" s="35">
        <f>F288 * G288 * 164.189664</f>
        <v>328.37932799999999</v>
      </c>
      <c r="I288" s="35">
        <f t="shared" si="99"/>
        <v>0</v>
      </c>
      <c r="J288" s="35">
        <f t="shared" si="100"/>
        <v>0</v>
      </c>
      <c r="K288" s="35">
        <f>F288 * G288 * 156.308561</f>
        <v>312.61712199999999</v>
      </c>
      <c r="L288" s="35">
        <f>F288 * G288 * 33.652313</f>
        <v>67.304625999999999</v>
      </c>
      <c r="M288" s="35">
        <f>F288 * G288 * 32.837933</f>
        <v>65.675865999999999</v>
      </c>
      <c r="N288" s="36">
        <f t="shared" si="101"/>
        <v>773.97694200000001</v>
      </c>
      <c r="O288" s="71">
        <f t="shared" si="102"/>
        <v>947.82377282733012</v>
      </c>
      <c r="P288" s="37">
        <f t="shared" si="103"/>
        <v>6.3841993535626827E-3</v>
      </c>
    </row>
    <row r="289" spans="2:16" ht="30" x14ac:dyDescent="0.25">
      <c r="B289" s="30">
        <v>174</v>
      </c>
      <c r="C289" s="31" t="s">
        <v>661</v>
      </c>
      <c r="D289" s="32" t="s">
        <v>662</v>
      </c>
      <c r="E289" s="32" t="s">
        <v>647</v>
      </c>
      <c r="F289" s="33">
        <v>12</v>
      </c>
      <c r="G289" s="34">
        <v>1</v>
      </c>
      <c r="H289" s="35">
        <f>F289 * G289 * 22.80412</f>
        <v>273.64944000000003</v>
      </c>
      <c r="I289" s="35">
        <f t="shared" si="99"/>
        <v>0</v>
      </c>
      <c r="J289" s="35">
        <f t="shared" si="100"/>
        <v>0</v>
      </c>
      <c r="K289" s="35">
        <f>F289 * G289 * 21.709522</f>
        <v>260.51426400000003</v>
      </c>
      <c r="L289" s="35">
        <f>F289 * G289 * 4.673932</f>
        <v>56.087183999999993</v>
      </c>
      <c r="M289" s="35">
        <f>F289 * G289 * 4.560824</f>
        <v>54.729888000000003</v>
      </c>
      <c r="N289" s="36">
        <f t="shared" si="101"/>
        <v>644.98077599999999</v>
      </c>
      <c r="O289" s="71">
        <f t="shared" si="102"/>
        <v>789.85313300124017</v>
      </c>
      <c r="P289" s="37">
        <f t="shared" si="103"/>
        <v>5.3201660537318153E-3</v>
      </c>
    </row>
    <row r="290" spans="2:16" ht="28.5" x14ac:dyDescent="0.25">
      <c r="B290" s="38"/>
      <c r="C290" s="39" t="s">
        <v>663</v>
      </c>
      <c r="D290" s="41" t="s">
        <v>664</v>
      </c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</row>
    <row r="291" spans="2:16" ht="30" x14ac:dyDescent="0.25">
      <c r="B291" s="30">
        <v>175</v>
      </c>
      <c r="C291" s="31" t="s">
        <v>665</v>
      </c>
      <c r="D291" s="32" t="s">
        <v>666</v>
      </c>
      <c r="E291" s="32" t="s">
        <v>647</v>
      </c>
      <c r="F291" s="33">
        <v>2</v>
      </c>
      <c r="G291" s="34">
        <v>1</v>
      </c>
      <c r="H291" s="35">
        <f>F291 * G291 * 36.486592</f>
        <v>72.973184000000003</v>
      </c>
      <c r="I291" s="35">
        <f t="shared" ref="I291:I298" si="104">F291 * G291 * 0</f>
        <v>0</v>
      </c>
      <c r="J291" s="35">
        <f t="shared" ref="J291:J298" si="105">F291 * G291 * 0</f>
        <v>0</v>
      </c>
      <c r="K291" s="35">
        <f>F291 * G291 * 34.735236</f>
        <v>69.470472000000001</v>
      </c>
      <c r="L291" s="35">
        <f>F291 * G291 * 7.478292</f>
        <v>14.956583999999999</v>
      </c>
      <c r="M291" s="35">
        <f>F291 * G291 * 7.297318</f>
        <v>14.594635999999999</v>
      </c>
      <c r="N291" s="36">
        <f t="shared" ref="N291:N298" si="106">SUM(H291:M291)</f>
        <v>171.994876</v>
      </c>
      <c r="O291" s="71">
        <f t="shared" ref="O291:O298" si="107">N291*1.07*1.09*1.05</f>
        <v>210.62750507274006</v>
      </c>
      <c r="P291" s="37">
        <f t="shared" ref="P291:P298" si="108">IF($P$9&gt;0,O291/$P$9/12,0)</f>
        <v>1.4187109674583742E-3</v>
      </c>
    </row>
    <row r="292" spans="2:16" ht="30" x14ac:dyDescent="0.25">
      <c r="B292" s="30">
        <v>176</v>
      </c>
      <c r="C292" s="31" t="s">
        <v>667</v>
      </c>
      <c r="D292" s="32" t="s">
        <v>668</v>
      </c>
      <c r="E292" s="32" t="s">
        <v>647</v>
      </c>
      <c r="F292" s="33">
        <v>214</v>
      </c>
      <c r="G292" s="34">
        <v>4</v>
      </c>
      <c r="H292" s="35">
        <f>F292 * G292 * 20.24405</f>
        <v>17328.906800000001</v>
      </c>
      <c r="I292" s="35">
        <f t="shared" si="104"/>
        <v>0</v>
      </c>
      <c r="J292" s="35">
        <f t="shared" si="105"/>
        <v>0</v>
      </c>
      <c r="K292" s="35">
        <f>F292 * G292 * 19.272336</f>
        <v>16497.119616</v>
      </c>
      <c r="L292" s="35">
        <f>F292 * G292 * 4.149221</f>
        <v>3551.7331759999997</v>
      </c>
      <c r="M292" s="35">
        <f>F292 * G292 * 4.04881</f>
        <v>3465.7813599999995</v>
      </c>
      <c r="N292" s="36">
        <f t="shared" si="106"/>
        <v>40843.540952000003</v>
      </c>
      <c r="O292" s="71">
        <f t="shared" si="107"/>
        <v>50017.612902933484</v>
      </c>
      <c r="P292" s="37">
        <f t="shared" si="108"/>
        <v>0.33690061498365581</v>
      </c>
    </row>
    <row r="293" spans="2:16" ht="30" x14ac:dyDescent="0.25">
      <c r="B293" s="30">
        <v>177</v>
      </c>
      <c r="C293" s="31" t="s">
        <v>669</v>
      </c>
      <c r="D293" s="32" t="s">
        <v>670</v>
      </c>
      <c r="E293" s="32" t="s">
        <v>647</v>
      </c>
      <c r="F293" s="33">
        <v>2</v>
      </c>
      <c r="G293" s="34">
        <v>1</v>
      </c>
      <c r="H293" s="35">
        <f>F293 * G293 * 60.73215</f>
        <v>121.46429999999999</v>
      </c>
      <c r="I293" s="35">
        <f t="shared" si="104"/>
        <v>0</v>
      </c>
      <c r="J293" s="35">
        <f t="shared" si="105"/>
        <v>0</v>
      </c>
      <c r="K293" s="35">
        <f>F293 * G293 * 57.817006</f>
        <v>115.634012</v>
      </c>
      <c r="L293" s="35">
        <f>F293 * G293 * 12.447662</f>
        <v>24.895323999999999</v>
      </c>
      <c r="M293" s="35">
        <f>F293 * G293 * 12.14643</f>
        <v>24.292860000000001</v>
      </c>
      <c r="N293" s="36">
        <f t="shared" si="106"/>
        <v>286.286496</v>
      </c>
      <c r="O293" s="71">
        <f t="shared" si="107"/>
        <v>350.59073729904003</v>
      </c>
      <c r="P293" s="37">
        <f t="shared" si="108"/>
        <v>2.3614528592725511E-3</v>
      </c>
    </row>
    <row r="294" spans="2:16" ht="45" x14ac:dyDescent="0.25">
      <c r="B294" s="30">
        <v>178</v>
      </c>
      <c r="C294" s="31" t="s">
        <v>671</v>
      </c>
      <c r="D294" s="32" t="s">
        <v>672</v>
      </c>
      <c r="E294" s="32" t="s">
        <v>654</v>
      </c>
      <c r="F294" s="33">
        <v>2</v>
      </c>
      <c r="G294" s="34">
        <v>1</v>
      </c>
      <c r="H294" s="35">
        <f>F294 * G294 * 174.09883</f>
        <v>348.19765999999998</v>
      </c>
      <c r="I294" s="35">
        <f t="shared" si="104"/>
        <v>0</v>
      </c>
      <c r="J294" s="35">
        <f t="shared" si="105"/>
        <v>0</v>
      </c>
      <c r="K294" s="35">
        <f>F294 * G294 * 165.742087</f>
        <v>331.484174</v>
      </c>
      <c r="L294" s="35">
        <f>F294 * G294 * 35.6832969999999</f>
        <v>71.366593999999793</v>
      </c>
      <c r="M294" s="35">
        <f>F294 * G294 * 34.819766</f>
        <v>69.639532000000003</v>
      </c>
      <c r="N294" s="36">
        <f t="shared" si="106"/>
        <v>820.68795999999986</v>
      </c>
      <c r="O294" s="71">
        <f t="shared" si="107"/>
        <v>1005.0267861354001</v>
      </c>
      <c r="P294" s="37">
        <f t="shared" si="108"/>
        <v>6.7694982361744269E-3</v>
      </c>
    </row>
    <row r="295" spans="2:16" ht="30" x14ac:dyDescent="0.25">
      <c r="B295" s="30">
        <v>179</v>
      </c>
      <c r="C295" s="31" t="s">
        <v>673</v>
      </c>
      <c r="D295" s="32" t="s">
        <v>674</v>
      </c>
      <c r="E295" s="32" t="s">
        <v>654</v>
      </c>
      <c r="F295" s="33">
        <v>2</v>
      </c>
      <c r="G295" s="34">
        <v>1</v>
      </c>
      <c r="H295" s="35">
        <f>F295 * G295 * 228.0412</f>
        <v>456.08240000000001</v>
      </c>
      <c r="I295" s="35">
        <f t="shared" si="104"/>
        <v>0</v>
      </c>
      <c r="J295" s="35">
        <f t="shared" si="105"/>
        <v>0</v>
      </c>
      <c r="K295" s="35">
        <f>F295 * G295 * 217.095221999999</f>
        <v>434.19044399999802</v>
      </c>
      <c r="L295" s="35">
        <f>F295 * G295 * 46.7393239999999</f>
        <v>93.478647999999794</v>
      </c>
      <c r="M295" s="35">
        <f>F295 * G295 * 45.60824</f>
        <v>91.216480000000004</v>
      </c>
      <c r="N295" s="36">
        <f t="shared" si="106"/>
        <v>1074.9679719999979</v>
      </c>
      <c r="O295" s="71">
        <f t="shared" si="107"/>
        <v>1316.4219030307777</v>
      </c>
      <c r="P295" s="37">
        <f t="shared" si="108"/>
        <v>8.8669435218691247E-3</v>
      </c>
    </row>
    <row r="296" spans="2:16" ht="30" x14ac:dyDescent="0.25">
      <c r="B296" s="30">
        <v>180</v>
      </c>
      <c r="C296" s="31" t="s">
        <v>675</v>
      </c>
      <c r="D296" s="32" t="s">
        <v>676</v>
      </c>
      <c r="E296" s="32" t="s">
        <v>647</v>
      </c>
      <c r="F296" s="33">
        <v>5</v>
      </c>
      <c r="G296" s="34">
        <v>1</v>
      </c>
      <c r="H296" s="35">
        <f>F296 * G296 * 45.60824</f>
        <v>228.0412</v>
      </c>
      <c r="I296" s="35">
        <f t="shared" si="104"/>
        <v>0</v>
      </c>
      <c r="J296" s="35">
        <f t="shared" si="105"/>
        <v>0</v>
      </c>
      <c r="K296" s="35">
        <f>F296 * G296 * 43.419044</f>
        <v>217.09521999999998</v>
      </c>
      <c r="L296" s="35">
        <f>F296 * G296 * 9.347864</f>
        <v>46.739319999999999</v>
      </c>
      <c r="M296" s="35">
        <f>F296 * G296 * 9.121648</f>
        <v>45.608240000000002</v>
      </c>
      <c r="N296" s="36">
        <f t="shared" si="106"/>
        <v>537.48397999999997</v>
      </c>
      <c r="O296" s="71">
        <f t="shared" si="107"/>
        <v>658.21094416769995</v>
      </c>
      <c r="P296" s="37">
        <f t="shared" si="108"/>
        <v>4.4334717114431774E-3</v>
      </c>
    </row>
    <row r="297" spans="2:16" ht="30" x14ac:dyDescent="0.25">
      <c r="B297" s="30">
        <v>181</v>
      </c>
      <c r="C297" s="31" t="s">
        <v>677</v>
      </c>
      <c r="D297" s="32" t="s">
        <v>678</v>
      </c>
      <c r="E297" s="32" t="s">
        <v>647</v>
      </c>
      <c r="F297" s="33">
        <v>3</v>
      </c>
      <c r="G297" s="34">
        <v>1</v>
      </c>
      <c r="H297" s="35">
        <f>F297 * G297 * 164.189664</f>
        <v>492.56899199999998</v>
      </c>
      <c r="I297" s="35">
        <f t="shared" si="104"/>
        <v>0</v>
      </c>
      <c r="J297" s="35">
        <f t="shared" si="105"/>
        <v>0</v>
      </c>
      <c r="K297" s="35">
        <f>F297 * G297 * 156.308561</f>
        <v>468.92568299999999</v>
      </c>
      <c r="L297" s="35">
        <f>F297 * G297 * 33.652313</f>
        <v>100.95693900000001</v>
      </c>
      <c r="M297" s="35">
        <f>F297 * G297 * 32.837933</f>
        <v>98.513799000000006</v>
      </c>
      <c r="N297" s="36">
        <f t="shared" si="106"/>
        <v>1160.9654129999999</v>
      </c>
      <c r="O297" s="71">
        <f t="shared" si="107"/>
        <v>1421.7356592409953</v>
      </c>
      <c r="P297" s="37">
        <f t="shared" si="108"/>
        <v>9.5762990303440241E-3</v>
      </c>
    </row>
    <row r="298" spans="2:16" ht="30" x14ac:dyDescent="0.25">
      <c r="B298" s="30">
        <v>182</v>
      </c>
      <c r="C298" s="31" t="s">
        <v>679</v>
      </c>
      <c r="D298" s="32" t="s">
        <v>680</v>
      </c>
      <c r="E298" s="32" t="s">
        <v>647</v>
      </c>
      <c r="F298" s="33">
        <v>3</v>
      </c>
      <c r="G298" s="34">
        <v>1</v>
      </c>
      <c r="H298" s="35">
        <f>F298 * G298 * 36.486592</f>
        <v>109.45977600000001</v>
      </c>
      <c r="I298" s="35">
        <f t="shared" si="104"/>
        <v>0</v>
      </c>
      <c r="J298" s="35">
        <f t="shared" si="105"/>
        <v>0</v>
      </c>
      <c r="K298" s="35">
        <f>F298 * G298 * 34.735236</f>
        <v>104.205708</v>
      </c>
      <c r="L298" s="35">
        <f>F298 * G298 * 7.478292</f>
        <v>22.434875999999999</v>
      </c>
      <c r="M298" s="35">
        <f>F298 * G298 * 7.297318</f>
        <v>21.891953999999998</v>
      </c>
      <c r="N298" s="36">
        <f t="shared" si="106"/>
        <v>257.99231399999996</v>
      </c>
      <c r="O298" s="71">
        <f t="shared" si="107"/>
        <v>315.94125760911004</v>
      </c>
      <c r="P298" s="37">
        <f t="shared" si="108"/>
        <v>2.1280664511875609E-3</v>
      </c>
    </row>
    <row r="299" spans="2:16" x14ac:dyDescent="0.25">
      <c r="B299" s="27"/>
      <c r="C299" s="28" t="s">
        <v>681</v>
      </c>
      <c r="D299" s="29" t="s">
        <v>682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</row>
    <row r="300" spans="2:16" x14ac:dyDescent="0.25">
      <c r="B300" s="38"/>
      <c r="C300" s="39" t="s">
        <v>683</v>
      </c>
      <c r="D300" s="40" t="s">
        <v>684</v>
      </c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2:16" ht="60" x14ac:dyDescent="0.25">
      <c r="B301" s="30">
        <v>183</v>
      </c>
      <c r="C301" s="31" t="s">
        <v>685</v>
      </c>
      <c r="D301" s="32" t="s">
        <v>686</v>
      </c>
      <c r="E301" s="32" t="s">
        <v>687</v>
      </c>
      <c r="F301" s="33">
        <v>1</v>
      </c>
      <c r="G301" s="34">
        <v>3</v>
      </c>
      <c r="H301" s="35">
        <f>F301 * G301 * 2017.313988</f>
        <v>6051.9419640000006</v>
      </c>
      <c r="I301" s="35">
        <f>F301 * G301 * 0</f>
        <v>0</v>
      </c>
      <c r="J301" s="35">
        <f>F301 * G301 * 0</f>
        <v>0</v>
      </c>
      <c r="K301" s="35">
        <f>F301 * G301 * 1920.482916</f>
        <v>5761.4487479999998</v>
      </c>
      <c r="L301" s="35">
        <f>F301 * G301 * 413.468675</f>
        <v>1240.406025</v>
      </c>
      <c r="M301" s="35">
        <f>F301 * G301 * 403.462798</f>
        <v>1210.3883940000001</v>
      </c>
      <c r="N301" s="36">
        <f>SUM(H301:M301)</f>
        <v>14264.185131</v>
      </c>
      <c r="O301" s="71">
        <f>N301*1.07*1.09*1.05</f>
        <v>17468.135074199567</v>
      </c>
      <c r="P301" s="37">
        <f t="shared" ref="P301" si="109">IF($P$9&gt;0,O301/$P$9/12,0)</f>
        <v>0.11765906262932135</v>
      </c>
    </row>
    <row r="302" spans="2:16" ht="28.5" x14ac:dyDescent="0.25">
      <c r="B302" s="43" t="s">
        <v>372</v>
      </c>
      <c r="C302" s="43"/>
      <c r="D302" s="43"/>
      <c r="E302" s="43"/>
      <c r="F302" s="43"/>
      <c r="G302" s="43"/>
      <c r="H302" s="44">
        <f t="shared" ref="H302:O302" si="110">SUM(H196:H301)</f>
        <v>272017.73519852507</v>
      </c>
      <c r="I302" s="44">
        <f t="shared" si="110"/>
        <v>204232.85027809697</v>
      </c>
      <c r="J302" s="44">
        <f t="shared" si="110"/>
        <v>946.20351280000011</v>
      </c>
      <c r="K302" s="44">
        <f t="shared" si="110"/>
        <v>259333.38225272181</v>
      </c>
      <c r="L302" s="44">
        <f t="shared" si="110"/>
        <v>77335.668659228002</v>
      </c>
      <c r="M302" s="44">
        <f t="shared" si="110"/>
        <v>54481.802901966017</v>
      </c>
      <c r="N302" s="44">
        <f t="shared" si="110"/>
        <v>868347.64280333789</v>
      </c>
      <c r="O302" s="44">
        <f t="shared" si="110"/>
        <v>1063391.5485916098</v>
      </c>
      <c r="P302" s="45">
        <f>SUM(P199:P301)</f>
        <v>7.1626222423726258</v>
      </c>
    </row>
    <row r="303" spans="2:16" x14ac:dyDescent="0.25">
      <c r="B303" s="23" t="s">
        <v>688</v>
      </c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46"/>
      <c r="N303" s="46"/>
      <c r="O303" s="46"/>
      <c r="P303" s="47"/>
    </row>
    <row r="304" spans="2:16" x14ac:dyDescent="0.25"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48"/>
      <c r="N304" s="48"/>
      <c r="O304" s="48"/>
      <c r="P304" s="49"/>
    </row>
    <row r="305" spans="2:16" x14ac:dyDescent="0.25">
      <c r="B305" s="27"/>
      <c r="C305" s="28" t="s">
        <v>689</v>
      </c>
      <c r="D305" s="29" t="s">
        <v>690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</row>
    <row r="306" spans="2:16" x14ac:dyDescent="0.25">
      <c r="B306" s="38"/>
      <c r="C306" s="39" t="s">
        <v>691</v>
      </c>
      <c r="D306" s="40" t="s">
        <v>692</v>
      </c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2:16" x14ac:dyDescent="0.25">
      <c r="B307" s="38"/>
      <c r="C307" s="39" t="s">
        <v>693</v>
      </c>
      <c r="D307" s="41" t="s">
        <v>694</v>
      </c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</row>
    <row r="308" spans="2:16" ht="30" x14ac:dyDescent="0.25">
      <c r="B308" s="30">
        <v>184</v>
      </c>
      <c r="C308" s="31" t="s">
        <v>695</v>
      </c>
      <c r="D308" s="32" t="s">
        <v>696</v>
      </c>
      <c r="E308" s="32" t="s">
        <v>501</v>
      </c>
      <c r="F308" s="33">
        <v>0.05</v>
      </c>
      <c r="G308" s="34">
        <v>1</v>
      </c>
      <c r="H308" s="35">
        <f>F308 * G308 * 13358.74475</f>
        <v>667.93723750000004</v>
      </c>
      <c r="I308" s="35">
        <f>F308 * G308 * 44990.439358</f>
        <v>2249.5219679000002</v>
      </c>
      <c r="J308" s="35">
        <f>F308 * G308 * 0</f>
        <v>0</v>
      </c>
      <c r="K308" s="35">
        <f>F308 * G308 * 12717.525002</f>
        <v>635.87625010000011</v>
      </c>
      <c r="L308" s="35">
        <f>F308 * G308 * 7462.004457</f>
        <v>373.10022285000002</v>
      </c>
      <c r="M308" s="35">
        <f>F308 * G308 * 2671.74895</f>
        <v>133.58744750000002</v>
      </c>
      <c r="N308" s="36">
        <f>SUM(H308:M308)</f>
        <v>4060.0231258500007</v>
      </c>
      <c r="O308" s="71">
        <f t="shared" ref="O308:O312" si="111">N308*1.07*1.09*1.05</f>
        <v>4971.9652202628004</v>
      </c>
      <c r="P308" s="37">
        <f t="shared" ref="P308:P312" si="112">IF($P$9&gt;0,O308/$P$9/12,0)</f>
        <v>3.348936590865665E-2</v>
      </c>
    </row>
    <row r="309" spans="2:16" ht="30" x14ac:dyDescent="0.25">
      <c r="B309" s="30">
        <v>185</v>
      </c>
      <c r="C309" s="31" t="s">
        <v>697</v>
      </c>
      <c r="D309" s="32" t="s">
        <v>698</v>
      </c>
      <c r="E309" s="32" t="s">
        <v>501</v>
      </c>
      <c r="F309" s="33">
        <v>0.05</v>
      </c>
      <c r="G309" s="34">
        <v>1</v>
      </c>
      <c r="H309" s="35">
        <f>F309 * G309 * 14386.3405</f>
        <v>719.31702500000006</v>
      </c>
      <c r="I309" s="35">
        <f>F309 * G309 * 60120.051358</f>
        <v>3006.0025679</v>
      </c>
      <c r="J309" s="35">
        <f>F309 * G309 * 0</f>
        <v>0</v>
      </c>
      <c r="K309" s="35">
        <f>F309 * G309 * 13695.796156</f>
        <v>684.78980780000006</v>
      </c>
      <c r="L309" s="35">
        <f>F309 * G309 * 9261.229741</f>
        <v>463.06148704999998</v>
      </c>
      <c r="M309" s="35">
        <f>F309 * G309 * 2877.2681</f>
        <v>143.863405</v>
      </c>
      <c r="N309" s="36">
        <f>SUM(H309:M309)</f>
        <v>5017.0342927500005</v>
      </c>
      <c r="O309" s="71">
        <f t="shared" si="111"/>
        <v>6143.9354504160428</v>
      </c>
      <c r="P309" s="37">
        <f t="shared" si="112"/>
        <v>4.1383335020045549E-2</v>
      </c>
    </row>
    <row r="310" spans="2:16" ht="30" x14ac:dyDescent="0.25">
      <c r="B310" s="30">
        <v>186</v>
      </c>
      <c r="C310" s="31" t="s">
        <v>699</v>
      </c>
      <c r="D310" s="32" t="s">
        <v>700</v>
      </c>
      <c r="E310" s="32" t="s">
        <v>501</v>
      </c>
      <c r="F310" s="33">
        <v>0.03</v>
      </c>
      <c r="G310" s="34">
        <v>1</v>
      </c>
      <c r="H310" s="35">
        <f>F310 * G310 * 21298.898063</f>
        <v>638.96694189000004</v>
      </c>
      <c r="I310" s="35">
        <f>F310 * G310 * 78125.550441</f>
        <v>2343.7665132299999</v>
      </c>
      <c r="J310" s="35">
        <f>F310 * G310 * 0</f>
        <v>0</v>
      </c>
      <c r="K310" s="35">
        <f>F310 * G310 * 20276.550956</f>
        <v>608.29652867999994</v>
      </c>
      <c r="L310" s="35">
        <f>F310 * G310 * 12568.604943</f>
        <v>377.05814829000002</v>
      </c>
      <c r="M310" s="35">
        <f>F310 * G310 * 4259.779613</f>
        <v>127.79338838999999</v>
      </c>
      <c r="N310" s="36">
        <f>SUM(H310:M310)</f>
        <v>4095.8815204800003</v>
      </c>
      <c r="O310" s="71">
        <f t="shared" si="111"/>
        <v>5015.8779482026157</v>
      </c>
      <c r="P310" s="37">
        <f t="shared" si="112"/>
        <v>3.378514621862954E-2</v>
      </c>
    </row>
    <row r="311" spans="2:16" ht="30" x14ac:dyDescent="0.25">
      <c r="B311" s="30">
        <v>187</v>
      </c>
      <c r="C311" s="31" t="s">
        <v>701</v>
      </c>
      <c r="D311" s="32" t="s">
        <v>702</v>
      </c>
      <c r="E311" s="32" t="s">
        <v>501</v>
      </c>
      <c r="F311" s="33">
        <v>0.03</v>
      </c>
      <c r="G311" s="34">
        <v>1</v>
      </c>
      <c r="H311" s="35">
        <f>F311 * G311 * 24377.507179</f>
        <v>731.32521537000002</v>
      </c>
      <c r="I311" s="35">
        <f>F311 * G311 * 88503.187249</f>
        <v>2655.09561747</v>
      </c>
      <c r="J311" s="35">
        <f>F311 * G311 * 0</f>
        <v>0</v>
      </c>
      <c r="K311" s="35">
        <f>F311 * G311 * 23207.386834</f>
        <v>696.22160501999997</v>
      </c>
      <c r="L311" s="35">
        <f>F311 * G311 * 14289.248532</f>
        <v>428.67745595999997</v>
      </c>
      <c r="M311" s="35">
        <f>F311 * G311 * 4875.501436</f>
        <v>146.26504307999997</v>
      </c>
      <c r="N311" s="36">
        <f>SUM(H311:M311)</f>
        <v>4657.5849369000007</v>
      </c>
      <c r="O311" s="71">
        <f t="shared" si="111"/>
        <v>5703.7483775017945</v>
      </c>
      <c r="P311" s="37">
        <f t="shared" si="112"/>
        <v>3.8418393533124491E-2</v>
      </c>
    </row>
    <row r="312" spans="2:16" ht="30" x14ac:dyDescent="0.25">
      <c r="B312" s="30">
        <v>188</v>
      </c>
      <c r="C312" s="31" t="s">
        <v>703</v>
      </c>
      <c r="D312" s="32" t="s">
        <v>704</v>
      </c>
      <c r="E312" s="32" t="s">
        <v>501</v>
      </c>
      <c r="F312" s="33">
        <v>0.05</v>
      </c>
      <c r="G312" s="34">
        <v>1</v>
      </c>
      <c r="H312" s="35">
        <f>F312 * G312 * 31707.494462</f>
        <v>1585.3747231</v>
      </c>
      <c r="I312" s="35">
        <f>F312 * G312 * 113281.790876</f>
        <v>5664.0895438000007</v>
      </c>
      <c r="J312" s="35">
        <f>F312 * G312 * 0</f>
        <v>0</v>
      </c>
      <c r="K312" s="35">
        <f>F312 * G312 * 30185.534728</f>
        <v>1509.2767364000001</v>
      </c>
      <c r="L312" s="35">
        <f>F312 * G312 * 18393.356107</f>
        <v>919.66780534999998</v>
      </c>
      <c r="M312" s="35">
        <f>F312 * G312 * 6341.498892</f>
        <v>317.07494459999998</v>
      </c>
      <c r="N312" s="36">
        <f>SUM(H312:M312)</f>
        <v>9995.4837532500023</v>
      </c>
      <c r="O312" s="71">
        <f t="shared" si="111"/>
        <v>12240.619336486254</v>
      </c>
      <c r="P312" s="37">
        <f t="shared" si="112"/>
        <v>8.2448400531349372E-2</v>
      </c>
    </row>
    <row r="313" spans="2:16" x14ac:dyDescent="0.25">
      <c r="B313" s="38"/>
      <c r="C313" s="39" t="s">
        <v>705</v>
      </c>
      <c r="D313" s="41" t="s">
        <v>706</v>
      </c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</row>
    <row r="314" spans="2:16" ht="60" x14ac:dyDescent="0.25">
      <c r="B314" s="30">
        <v>189</v>
      </c>
      <c r="C314" s="31" t="s">
        <v>707</v>
      </c>
      <c r="D314" s="32" t="s">
        <v>708</v>
      </c>
      <c r="E314" s="32" t="s">
        <v>709</v>
      </c>
      <c r="F314" s="33">
        <v>8.7750000000000004</v>
      </c>
      <c r="G314" s="34">
        <v>1</v>
      </c>
      <c r="H314" s="35">
        <f>F314 * G314 * 367.146332</f>
        <v>3221.7090632999998</v>
      </c>
      <c r="I314" s="35">
        <f>F314 * G314 * 271.086667</f>
        <v>2378.7855029249999</v>
      </c>
      <c r="J314" s="35">
        <f>F314 * G314 * 0</f>
        <v>0</v>
      </c>
      <c r="K314" s="35">
        <f>F314 * G314 * 349.523308</f>
        <v>3067.0670276999999</v>
      </c>
      <c r="L314" s="35">
        <f>F314 * G314 * 103.714413</f>
        <v>910.09397407500001</v>
      </c>
      <c r="M314" s="35">
        <f>F314 * G314 * 73.429266</f>
        <v>644.34180915000002</v>
      </c>
      <c r="N314" s="36">
        <f>SUM(H314:M314)</f>
        <v>10221.997377149999</v>
      </c>
      <c r="O314" s="71">
        <f t="shared" ref="O314:O316" si="113">N314*1.07*1.09*1.05</f>
        <v>12518.011318018547</v>
      </c>
      <c r="P314" s="37">
        <f t="shared" ref="P314:P316" si="114">IF($P$9&gt;0,O314/$P$9/12,0)</f>
        <v>8.4316812951412787E-2</v>
      </c>
    </row>
    <row r="315" spans="2:16" ht="60" x14ac:dyDescent="0.25">
      <c r="B315" s="30">
        <v>190</v>
      </c>
      <c r="C315" s="31" t="s">
        <v>710</v>
      </c>
      <c r="D315" s="32" t="s">
        <v>711</v>
      </c>
      <c r="E315" s="32" t="s">
        <v>709</v>
      </c>
      <c r="F315" s="33">
        <v>4.7249999999999996</v>
      </c>
      <c r="G315" s="34">
        <v>1</v>
      </c>
      <c r="H315" s="35">
        <f>F315 * G315 * 396.791688</f>
        <v>1874.8407258</v>
      </c>
      <c r="I315" s="35">
        <f>F315 * G315 * 358.546694</f>
        <v>1694.1331291499998</v>
      </c>
      <c r="J315" s="35">
        <f>F315 * G315 * 0</f>
        <v>0</v>
      </c>
      <c r="K315" s="35">
        <f>F315 * G315 * 377.745687</f>
        <v>1784.8483710749997</v>
      </c>
      <c r="L315" s="35">
        <f>F315 * G315 * 118.973827</f>
        <v>562.15133257499997</v>
      </c>
      <c r="M315" s="35">
        <f>F315 * G315 * 79.358338</f>
        <v>374.96814704999997</v>
      </c>
      <c r="N315" s="36">
        <f>SUM(H315:M315)</f>
        <v>6290.9417056499997</v>
      </c>
      <c r="O315" s="71">
        <f t="shared" si="113"/>
        <v>7703.9815768645758</v>
      </c>
      <c r="P315" s="37">
        <f t="shared" si="114"/>
        <v>5.1891243512666885E-2</v>
      </c>
    </row>
    <row r="316" spans="2:16" ht="60" x14ac:dyDescent="0.25">
      <c r="B316" s="30">
        <v>191</v>
      </c>
      <c r="C316" s="31" t="s">
        <v>712</v>
      </c>
      <c r="D316" s="32" t="s">
        <v>713</v>
      </c>
      <c r="E316" s="32" t="s">
        <v>709</v>
      </c>
      <c r="F316" s="33">
        <v>16.5</v>
      </c>
      <c r="G316" s="34">
        <v>1</v>
      </c>
      <c r="H316" s="35">
        <f>F316 * G316 * 417.315396</f>
        <v>6885.7040340000003</v>
      </c>
      <c r="I316" s="35">
        <f>F316 * G316 * 458.930671</f>
        <v>7572.3560715000003</v>
      </c>
      <c r="J316" s="35">
        <f>F316 * G316 * 0</f>
        <v>0</v>
      </c>
      <c r="K316" s="35">
        <f>F316 * G316 * 397.284256999999</f>
        <v>6555.1902404999837</v>
      </c>
      <c r="L316" s="35">
        <f>F316 * G316 * 133.720684</f>
        <v>2206.391286</v>
      </c>
      <c r="M316" s="35">
        <f>F316 * G316 * 83.463079</f>
        <v>1377.1408034999999</v>
      </c>
      <c r="N316" s="36">
        <f>SUM(H316:M316)</f>
        <v>24596.782435499983</v>
      </c>
      <c r="O316" s="71">
        <f t="shared" si="113"/>
        <v>30121.588722249817</v>
      </c>
      <c r="P316" s="37">
        <f t="shared" si="114"/>
        <v>0.20288816630462481</v>
      </c>
    </row>
    <row r="317" spans="2:16" x14ac:dyDescent="0.25">
      <c r="B317" s="38"/>
      <c r="C317" s="39" t="s">
        <v>714</v>
      </c>
      <c r="D317" s="40" t="s">
        <v>715</v>
      </c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2:16" x14ac:dyDescent="0.25">
      <c r="B318" s="38"/>
      <c r="C318" s="39" t="s">
        <v>716</v>
      </c>
      <c r="D318" s="41" t="s">
        <v>717</v>
      </c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</row>
    <row r="319" spans="2:16" ht="30" x14ac:dyDescent="0.25">
      <c r="B319" s="30">
        <v>192</v>
      </c>
      <c r="C319" s="31" t="s">
        <v>718</v>
      </c>
      <c r="D319" s="32" t="s">
        <v>719</v>
      </c>
      <c r="E319" s="32" t="s">
        <v>720</v>
      </c>
      <c r="F319" s="33">
        <v>0.04</v>
      </c>
      <c r="G319" s="34">
        <v>1</v>
      </c>
      <c r="H319" s="35">
        <f>F319 * G319 * 22607.1065</f>
        <v>904.28426000000013</v>
      </c>
      <c r="I319" s="35">
        <f>F319 * G319 * 774225.380288</f>
        <v>30969.01521152</v>
      </c>
      <c r="J319" s="35">
        <f>F319 * G319 * 0</f>
        <v>0</v>
      </c>
      <c r="K319" s="35">
        <f>F319 * G319 * 21521.965388</f>
        <v>860.87861552000004</v>
      </c>
      <c r="L319" s="35">
        <f>F319 * G319 * 85927.217479</f>
        <v>3437.08869916</v>
      </c>
      <c r="M319" s="35">
        <f>F319 * G319 * 4521.4213</f>
        <v>180.856852</v>
      </c>
      <c r="N319" s="36">
        <f>SUM(H319:M319)</f>
        <v>36352.123638199999</v>
      </c>
      <c r="O319" s="71">
        <f t="shared" ref="O319:O321" si="115">N319*1.07*1.09*1.05</f>
        <v>44517.355889194303</v>
      </c>
      <c r="P319" s="37">
        <f t="shared" ref="P319:P321" si="116">IF($P$9&gt;0,O319/$P$9/12,0)</f>
        <v>0.29985286594187349</v>
      </c>
    </row>
    <row r="320" spans="2:16" x14ac:dyDescent="0.25">
      <c r="B320" s="30">
        <v>193</v>
      </c>
      <c r="C320" s="31" t="s">
        <v>721</v>
      </c>
      <c r="D320" s="32" t="s">
        <v>722</v>
      </c>
      <c r="E320" s="32" t="s">
        <v>723</v>
      </c>
      <c r="F320" s="33">
        <v>0.03</v>
      </c>
      <c r="G320" s="34">
        <v>1</v>
      </c>
      <c r="H320" s="35">
        <f>F320 * G320 * 16573.54545</f>
        <v>497.20636350000001</v>
      </c>
      <c r="I320" s="35">
        <f>F320 * G320 * 84616.663334</f>
        <v>2538.49990002</v>
      </c>
      <c r="J320" s="35">
        <f>F320 * G320 * 0</f>
        <v>0</v>
      </c>
      <c r="K320" s="35">
        <f>F320 * G320 * 15778.015269</f>
        <v>473.34045806999995</v>
      </c>
      <c r="L320" s="35">
        <f>F320 * G320 * 12281.663525</f>
        <v>368.44990574999997</v>
      </c>
      <c r="M320" s="35">
        <f>F320 * G320 * 3314.70909</f>
        <v>99.441272699999985</v>
      </c>
      <c r="N320" s="36">
        <f>SUM(H320:M320)</f>
        <v>3976.9379000399995</v>
      </c>
      <c r="O320" s="71">
        <f t="shared" si="115"/>
        <v>4870.2178064574855</v>
      </c>
      <c r="P320" s="37">
        <f t="shared" si="116"/>
        <v>3.2804031997369636E-2</v>
      </c>
    </row>
    <row r="321" spans="2:16" x14ac:dyDescent="0.25">
      <c r="B321" s="30">
        <v>194</v>
      </c>
      <c r="C321" s="31" t="s">
        <v>724</v>
      </c>
      <c r="D321" s="32" t="s">
        <v>725</v>
      </c>
      <c r="E321" s="32" t="s">
        <v>723</v>
      </c>
      <c r="F321" s="33">
        <v>0.02</v>
      </c>
      <c r="G321" s="34">
        <v>1</v>
      </c>
      <c r="H321" s="35">
        <f>F321 * G321 * 16573.54545</f>
        <v>331.47090900000006</v>
      </c>
      <c r="I321" s="35">
        <f>F321 * G321 * 99554.323334</f>
        <v>1991.0864666800001</v>
      </c>
      <c r="J321" s="35">
        <f>F321 * G321 * 0</f>
        <v>0</v>
      </c>
      <c r="K321" s="35">
        <f>F321 * G321 * 15778.015269</f>
        <v>315.56030537999999</v>
      </c>
      <c r="L321" s="35">
        <f>F321 * G321 * 13850.117825</f>
        <v>277.00235650000002</v>
      </c>
      <c r="M321" s="35">
        <f>F321 * G321 * 3314.70909</f>
        <v>66.294181800000004</v>
      </c>
      <c r="N321" s="36">
        <f>SUM(H321:M321)</f>
        <v>2981.4142193600001</v>
      </c>
      <c r="O321" s="71">
        <f t="shared" si="115"/>
        <v>3651.0845742415468</v>
      </c>
      <c r="P321" s="37">
        <f t="shared" si="116"/>
        <v>2.4592389900861805E-2</v>
      </c>
    </row>
    <row r="322" spans="2:16" x14ac:dyDescent="0.25">
      <c r="B322" s="38"/>
      <c r="C322" s="39" t="s">
        <v>726</v>
      </c>
      <c r="D322" s="41" t="s">
        <v>727</v>
      </c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</row>
    <row r="323" spans="2:16" ht="30" x14ac:dyDescent="0.25">
      <c r="B323" s="30">
        <v>195</v>
      </c>
      <c r="C323" s="31" t="s">
        <v>728</v>
      </c>
      <c r="D323" s="32" t="s">
        <v>729</v>
      </c>
      <c r="E323" s="32" t="s">
        <v>723</v>
      </c>
      <c r="F323" s="33">
        <v>0.01</v>
      </c>
      <c r="G323" s="34">
        <v>1</v>
      </c>
      <c r="H323" s="35">
        <f>F323 * G323 * 12268.72845</f>
        <v>122.6872845</v>
      </c>
      <c r="I323" s="35">
        <f>F323 * G323 * 98299.253941</f>
        <v>982.99253941000006</v>
      </c>
      <c r="J323" s="35">
        <f>F323 * G323 * 0</f>
        <v>0</v>
      </c>
      <c r="K323" s="35">
        <f>F323 * G323 * 11679.829485</f>
        <v>116.79829485</v>
      </c>
      <c r="L323" s="35">
        <f>F323 * G323 * 12836.020247</f>
        <v>128.36020247000002</v>
      </c>
      <c r="M323" s="35">
        <f>F323 * G323 * 2453.74569</f>
        <v>24.537456900000002</v>
      </c>
      <c r="N323" s="36">
        <f>SUM(H323:M323)</f>
        <v>1375.3757781300003</v>
      </c>
      <c r="O323" s="71">
        <f t="shared" ref="O323:O324" si="117">N323*1.07*1.09*1.05</f>
        <v>1684.3058085346704</v>
      </c>
      <c r="P323" s="37">
        <f t="shared" ref="P323:P324" si="118">IF($P$9&gt;0,O323/$P$9/12,0)</f>
        <v>1.1344876929994278E-2</v>
      </c>
    </row>
    <row r="324" spans="2:16" ht="30" x14ac:dyDescent="0.25">
      <c r="B324" s="30">
        <v>196</v>
      </c>
      <c r="C324" s="31" t="s">
        <v>730</v>
      </c>
      <c r="D324" s="32" t="s">
        <v>731</v>
      </c>
      <c r="E324" s="32" t="s">
        <v>723</v>
      </c>
      <c r="F324" s="33">
        <v>0.01</v>
      </c>
      <c r="G324" s="34">
        <v>1</v>
      </c>
      <c r="H324" s="35">
        <f>F324 * G324 * 12268.72845</f>
        <v>122.6872845</v>
      </c>
      <c r="I324" s="35">
        <f>F324 * G324 * 83361.593941</f>
        <v>833.61593941000001</v>
      </c>
      <c r="J324" s="35">
        <f>F324 * G324 * 0</f>
        <v>0</v>
      </c>
      <c r="K324" s="35">
        <f>F324 * G324 * 11679.829485</f>
        <v>116.79829485</v>
      </c>
      <c r="L324" s="35">
        <f>F324 * G324 * 11267.565947</f>
        <v>112.67565947</v>
      </c>
      <c r="M324" s="35">
        <f>F324 * G324 * 2453.74569</f>
        <v>24.537456900000002</v>
      </c>
      <c r="N324" s="36">
        <f>SUM(H324:M324)</f>
        <v>1210.3146351300002</v>
      </c>
      <c r="O324" s="71">
        <f t="shared" si="117"/>
        <v>1482.1694568997254</v>
      </c>
      <c r="P324" s="37">
        <f t="shared" si="118"/>
        <v>9.9833593120199193E-3</v>
      </c>
    </row>
    <row r="325" spans="2:16" x14ac:dyDescent="0.25">
      <c r="B325" s="38"/>
      <c r="C325" s="39" t="s">
        <v>732</v>
      </c>
      <c r="D325" s="41" t="s">
        <v>733</v>
      </c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</row>
    <row r="326" spans="2:16" ht="30" x14ac:dyDescent="0.25">
      <c r="B326" s="30">
        <v>197</v>
      </c>
      <c r="C326" s="31" t="s">
        <v>734</v>
      </c>
      <c r="D326" s="32" t="s">
        <v>735</v>
      </c>
      <c r="E326" s="32" t="s">
        <v>736</v>
      </c>
      <c r="F326" s="33">
        <v>1.24</v>
      </c>
      <c r="G326" s="34">
        <v>1</v>
      </c>
      <c r="H326" s="35">
        <f>F326 * G326 * 59031.6498</f>
        <v>73199.245752000003</v>
      </c>
      <c r="I326" s="35">
        <f>F326 * G326 * 1997.016859</f>
        <v>2476.3009051600002</v>
      </c>
      <c r="J326" s="35">
        <f>F326 * G326 * 0</f>
        <v>0</v>
      </c>
      <c r="K326" s="35">
        <f>F326 * G326 * 56198.13061</f>
        <v>69685.681956400003</v>
      </c>
      <c r="L326" s="35">
        <f>F326 * G326 * 12308.813713</f>
        <v>15262.92900412</v>
      </c>
      <c r="M326" s="35">
        <f>F326 * G326 * 11806.32996</f>
        <v>14639.849150399999</v>
      </c>
      <c r="N326" s="36">
        <f>SUM(H326:M326)</f>
        <v>175264.00676808</v>
      </c>
      <c r="O326" s="71">
        <f t="shared" ref="O326:O327" si="119">N326*1.07*1.09*1.05</f>
        <v>214630.93164829235</v>
      </c>
      <c r="P326" s="37">
        <f t="shared" ref="P326:P327" si="120">IF($P$9&gt;0,O326/$P$9/12,0)</f>
        <v>1.4456766061017643</v>
      </c>
    </row>
    <row r="327" spans="2:16" ht="30" x14ac:dyDescent="0.25">
      <c r="B327" s="30">
        <v>198</v>
      </c>
      <c r="C327" s="31" t="s">
        <v>737</v>
      </c>
      <c r="D327" s="32" t="s">
        <v>738</v>
      </c>
      <c r="E327" s="32" t="s">
        <v>736</v>
      </c>
      <c r="F327" s="33">
        <v>0.5</v>
      </c>
      <c r="G327" s="34">
        <v>1</v>
      </c>
      <c r="H327" s="35">
        <f>F327 * G327 * 80895.2238</f>
        <v>40447.611900000004</v>
      </c>
      <c r="I327" s="35">
        <f>F327 * G327 * 1997.016859</f>
        <v>998.50842950000003</v>
      </c>
      <c r="J327" s="35">
        <f>F327 * G327 * 0</f>
        <v>0</v>
      </c>
      <c r="K327" s="35">
        <f>F327 * G327 * 77012.253058</f>
        <v>38506.126529000001</v>
      </c>
      <c r="L327" s="35">
        <f>F327 * G327 * 16789.971841</f>
        <v>8394.9859204999993</v>
      </c>
      <c r="M327" s="35">
        <f>F327 * G327 * 16179.04476</f>
        <v>8089.5223800000003</v>
      </c>
      <c r="N327" s="36">
        <f>SUM(H327:M327)</f>
        <v>96436.755158999993</v>
      </c>
      <c r="O327" s="71">
        <f t="shared" si="119"/>
        <v>118097.8969190388</v>
      </c>
      <c r="P327" s="37">
        <f t="shared" si="120"/>
        <v>0.79546487309407532</v>
      </c>
    </row>
    <row r="328" spans="2:16" x14ac:dyDescent="0.25">
      <c r="B328" s="38"/>
      <c r="C328" s="39" t="s">
        <v>739</v>
      </c>
      <c r="D328" s="40" t="s">
        <v>740</v>
      </c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2:16" x14ac:dyDescent="0.25">
      <c r="B329" s="38"/>
      <c r="C329" s="39" t="s">
        <v>741</v>
      </c>
      <c r="D329" s="41" t="s">
        <v>742</v>
      </c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</row>
    <row r="330" spans="2:16" ht="30" x14ac:dyDescent="0.25">
      <c r="B330" s="30">
        <v>199</v>
      </c>
      <c r="C330" s="31" t="s">
        <v>743</v>
      </c>
      <c r="D330" s="32" t="s">
        <v>744</v>
      </c>
      <c r="E330" s="32" t="s">
        <v>745</v>
      </c>
      <c r="F330" s="33">
        <v>0.05</v>
      </c>
      <c r="G330" s="34">
        <v>1</v>
      </c>
      <c r="H330" s="35">
        <f>F330 * G330 * 24860.7252</f>
        <v>1243.0362600000001</v>
      </c>
      <c r="I330" s="35">
        <f>F330 * G330 * 2504.560909</f>
        <v>125.22804545</v>
      </c>
      <c r="J330" s="35">
        <f>F330 * G330 * 0</f>
        <v>0</v>
      </c>
      <c r="K330" s="35">
        <f>F330 * G330 * 23667.41039</f>
        <v>1183.3705195</v>
      </c>
      <c r="L330" s="35">
        <f>F330 * G330 * 5358.433132</f>
        <v>267.92165660000001</v>
      </c>
      <c r="M330" s="35">
        <f>F330 * G330 * 4972.14504</f>
        <v>248.60725200000002</v>
      </c>
      <c r="N330" s="36">
        <f>SUM(H330:M330)</f>
        <v>3068.16373355</v>
      </c>
      <c r="O330" s="71">
        <f>N330*1.07*1.09*1.05</f>
        <v>3757.3193305613336</v>
      </c>
      <c r="P330" s="37">
        <f t="shared" ref="P330" si="121">IF($P$9&gt;0,O330/$P$9/12,0)</f>
        <v>2.530794893416137E-2</v>
      </c>
    </row>
    <row r="331" spans="2:16" x14ac:dyDescent="0.25">
      <c r="B331" s="38"/>
      <c r="C331" s="39" t="s">
        <v>746</v>
      </c>
      <c r="D331" s="40" t="s">
        <v>747</v>
      </c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2:16" x14ac:dyDescent="0.25">
      <c r="B332" s="30">
        <v>200</v>
      </c>
      <c r="C332" s="31" t="s">
        <v>748</v>
      </c>
      <c r="D332" s="32" t="s">
        <v>749</v>
      </c>
      <c r="E332" s="32" t="s">
        <v>750</v>
      </c>
      <c r="F332" s="33">
        <v>4</v>
      </c>
      <c r="G332" s="34">
        <v>0.1</v>
      </c>
      <c r="H332" s="35">
        <f>F332 * G332 * 576.944236</f>
        <v>230.77769440000003</v>
      </c>
      <c r="I332" s="35">
        <f>F332 * G332 * 88262.56512</f>
        <v>35305.026048</v>
      </c>
      <c r="J332" s="35">
        <f>F332 * G332 * 0</f>
        <v>0</v>
      </c>
      <c r="K332" s="35">
        <f>F332 * G332 * 549.250912</f>
        <v>219.70036479999999</v>
      </c>
      <c r="L332" s="35">
        <f>F332 * G332 * 9385.819828</f>
        <v>3754.3279312</v>
      </c>
      <c r="M332" s="35">
        <f>F332 * G332 * 115.388847</f>
        <v>46.155538800000002</v>
      </c>
      <c r="N332" s="36">
        <f>SUM(H332:M332)</f>
        <v>39555.987577200001</v>
      </c>
      <c r="O332" s="71">
        <f>N332*1.07*1.09*1.05</f>
        <v>48440.855726852787</v>
      </c>
      <c r="P332" s="37">
        <f t="shared" ref="P332" si="122">IF($P$9&gt;0,O332/$P$9/12,0)</f>
        <v>0.32628014688310153</v>
      </c>
    </row>
    <row r="333" spans="2:16" x14ac:dyDescent="0.25">
      <c r="B333" s="38"/>
      <c r="C333" s="39" t="s">
        <v>751</v>
      </c>
      <c r="D333" s="40" t="s">
        <v>752</v>
      </c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2:16" x14ac:dyDescent="0.25">
      <c r="B334" s="30">
        <v>201</v>
      </c>
      <c r="C334" s="31" t="s">
        <v>753</v>
      </c>
      <c r="D334" s="32" t="s">
        <v>754</v>
      </c>
      <c r="E334" s="32" t="s">
        <v>755</v>
      </c>
      <c r="F334" s="33">
        <v>1</v>
      </c>
      <c r="G334" s="34">
        <v>0.5</v>
      </c>
      <c r="H334" s="35">
        <f>F334 * G334 * 3146.052</f>
        <v>1573.0260000000001</v>
      </c>
      <c r="I334" s="35">
        <f>F334 * G334 * 23605.280733</f>
        <v>11802.6403665</v>
      </c>
      <c r="J334" s="35">
        <f>F334 * G334 * 0</f>
        <v>0</v>
      </c>
      <c r="K334" s="35">
        <f>F334 * G334 * 2995.041504</f>
        <v>1497.5207519999999</v>
      </c>
      <c r="L334" s="35">
        <f>F334 * G334 * 3123.369295</f>
        <v>1561.6846475</v>
      </c>
      <c r="M334" s="35">
        <f>F334 * G334 * 629.2104</f>
        <v>314.60520000000002</v>
      </c>
      <c r="N334" s="36">
        <f>SUM(H334:M334)</f>
        <v>16749.476966000002</v>
      </c>
      <c r="O334" s="71">
        <f t="shared" ref="O334:O335" si="123">N334*1.07*1.09*1.05</f>
        <v>20511.660734718094</v>
      </c>
      <c r="P334" s="37">
        <f t="shared" ref="P334:P335" si="124">IF($P$9&gt;0,O334/$P$9/12,0)</f>
        <v>0.13815915464165113</v>
      </c>
    </row>
    <row r="335" spans="2:16" x14ac:dyDescent="0.25">
      <c r="B335" s="30">
        <v>202</v>
      </c>
      <c r="C335" s="31" t="s">
        <v>756</v>
      </c>
      <c r="D335" s="32" t="s">
        <v>757</v>
      </c>
      <c r="E335" s="32" t="s">
        <v>758</v>
      </c>
      <c r="F335" s="33">
        <v>1</v>
      </c>
      <c r="G335" s="34">
        <v>0.5</v>
      </c>
      <c r="H335" s="35">
        <f>F335 * G335 * 4719.078</f>
        <v>2359.5390000000002</v>
      </c>
      <c r="I335" s="35">
        <f>F335 * G335 * 26295.23832</f>
        <v>13147.61916</v>
      </c>
      <c r="J335" s="35">
        <f>F335 * G335 * 0</f>
        <v>0</v>
      </c>
      <c r="K335" s="35">
        <f>F335 * G335 * 4492.562256</f>
        <v>2246.2811280000001</v>
      </c>
      <c r="L335" s="35">
        <f>F335 * G335 * 3728.22225099999</f>
        <v>1864.1111254999951</v>
      </c>
      <c r="M335" s="35">
        <f>F335 * G335 * 943.8156</f>
        <v>471.90780000000001</v>
      </c>
      <c r="N335" s="36">
        <f>SUM(H335:M335)</f>
        <v>20089.458213499998</v>
      </c>
      <c r="O335" s="71">
        <f t="shared" si="123"/>
        <v>24601.851870125305</v>
      </c>
      <c r="P335" s="37">
        <f t="shared" si="124"/>
        <v>0.16570920809169432</v>
      </c>
    </row>
    <row r="336" spans="2:16" x14ac:dyDescent="0.25">
      <c r="B336" s="38"/>
      <c r="C336" s="39" t="s">
        <v>759</v>
      </c>
      <c r="D336" s="40" t="s">
        <v>760</v>
      </c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2:16" x14ac:dyDescent="0.25">
      <c r="B337" s="30">
        <v>203</v>
      </c>
      <c r="C337" s="31" t="s">
        <v>761</v>
      </c>
      <c r="D337" s="32" t="s">
        <v>762</v>
      </c>
      <c r="E337" s="32" t="s">
        <v>763</v>
      </c>
      <c r="F337" s="33">
        <v>1</v>
      </c>
      <c r="G337" s="34">
        <v>0.5</v>
      </c>
      <c r="H337" s="35">
        <f>F337 * G337 * 2850.515</f>
        <v>1425.2574999999999</v>
      </c>
      <c r="I337" s="35">
        <f>F337 * G337 * 7411.615799</f>
        <v>3705.8078995000001</v>
      </c>
      <c r="J337" s="35">
        <f>F337 * G337 * 0</f>
        <v>0</v>
      </c>
      <c r="K337" s="35">
        <f>F337 * G337 * 2713.69028</f>
        <v>1356.8451399999999</v>
      </c>
      <c r="L337" s="35">
        <f>F337 * G337 * 1362.461213</f>
        <v>681.23060650000002</v>
      </c>
      <c r="M337" s="35">
        <f>F337 * G337 * 570.103</f>
        <v>285.05149999999998</v>
      </c>
      <c r="N337" s="36">
        <f>SUM(H337:M337)</f>
        <v>7454.1926460000004</v>
      </c>
      <c r="O337" s="71">
        <f>N337*1.07*1.09*1.05</f>
        <v>9128.5161271812922</v>
      </c>
      <c r="P337" s="37">
        <f t="shared" ref="P337" si="125">IF($P$9&gt;0,O337/$P$9/12,0)</f>
        <v>6.1486394864622346E-2</v>
      </c>
    </row>
    <row r="338" spans="2:16" x14ac:dyDescent="0.25">
      <c r="B338" s="38"/>
      <c r="C338" s="39" t="s">
        <v>764</v>
      </c>
      <c r="D338" s="41" t="s">
        <v>765</v>
      </c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</row>
    <row r="339" spans="2:16" ht="30" x14ac:dyDescent="0.25">
      <c r="B339" s="30">
        <v>204</v>
      </c>
      <c r="C339" s="31" t="s">
        <v>766</v>
      </c>
      <c r="D339" s="32" t="s">
        <v>767</v>
      </c>
      <c r="E339" s="32" t="s">
        <v>268</v>
      </c>
      <c r="F339" s="33">
        <v>0.01</v>
      </c>
      <c r="G339" s="34">
        <v>1</v>
      </c>
      <c r="H339" s="35">
        <f>F339 * G339 * 57545.362</f>
        <v>575.45362</v>
      </c>
      <c r="I339" s="35">
        <f>F339 * G339 * 495853.13854</f>
        <v>4958.5313854000005</v>
      </c>
      <c r="J339" s="35">
        <f>F339 * G339 * 0</f>
        <v>0</v>
      </c>
      <c r="K339" s="35">
        <f>F339 * G339 * 54783.184624</f>
        <v>547.83184624</v>
      </c>
      <c r="L339" s="35">
        <f>F339 * G339 * 63859.076942</f>
        <v>638.59076942000002</v>
      </c>
      <c r="M339" s="35">
        <f>F339 * G339 * 11509.0724</f>
        <v>115.09072399999999</v>
      </c>
      <c r="N339" s="36">
        <f>SUM(H339:M339)</f>
        <v>6835.4983450600012</v>
      </c>
      <c r="O339" s="71">
        <f t="shared" ref="O339:O341" si="126">N339*1.07*1.09*1.05</f>
        <v>8370.8538058356553</v>
      </c>
      <c r="P339" s="37">
        <f t="shared" ref="P339:P341" si="127">IF($P$9&gt;0,O339/$P$9/12,0)</f>
        <v>5.6383054517160087E-2</v>
      </c>
    </row>
    <row r="340" spans="2:16" ht="30" x14ac:dyDescent="0.25">
      <c r="B340" s="30">
        <v>205</v>
      </c>
      <c r="C340" s="31" t="s">
        <v>768</v>
      </c>
      <c r="D340" s="32" t="s">
        <v>769</v>
      </c>
      <c r="E340" s="32" t="s">
        <v>268</v>
      </c>
      <c r="F340" s="33">
        <v>0.01</v>
      </c>
      <c r="G340" s="34">
        <v>1</v>
      </c>
      <c r="H340" s="35">
        <f>F340 * G340 * 66793.72375</f>
        <v>667.93723750000004</v>
      </c>
      <c r="I340" s="35">
        <f>F340 * G340 * 1058168.892276</f>
        <v>10581.68892276</v>
      </c>
      <c r="J340" s="35">
        <f>F340 * G340 * 0</f>
        <v>0</v>
      </c>
      <c r="K340" s="35">
        <f>F340 * G340 * 63587.625011</f>
        <v>635.87625011</v>
      </c>
      <c r="L340" s="35">
        <f>F340 * G340 * 124797.775308999</f>
        <v>1247.9777530899901</v>
      </c>
      <c r="M340" s="35">
        <f>F340 * G340 * 13358.74475</f>
        <v>133.5874475</v>
      </c>
      <c r="N340" s="36">
        <f>SUM(H340:M340)</f>
        <v>13267.067610959992</v>
      </c>
      <c r="O340" s="71">
        <f t="shared" si="126"/>
        <v>16247.050002395772</v>
      </c>
      <c r="P340" s="37">
        <f t="shared" si="127"/>
        <v>0.10943427364476083</v>
      </c>
    </row>
    <row r="341" spans="2:16" ht="30" x14ac:dyDescent="0.25">
      <c r="B341" s="30">
        <v>206</v>
      </c>
      <c r="C341" s="31" t="s">
        <v>770</v>
      </c>
      <c r="D341" s="32" t="s">
        <v>771</v>
      </c>
      <c r="E341" s="32" t="s">
        <v>268</v>
      </c>
      <c r="F341" s="33">
        <v>0.01</v>
      </c>
      <c r="G341" s="34">
        <v>1</v>
      </c>
      <c r="H341" s="35">
        <f>F341 * G341 * 76042.0855</f>
        <v>760.42085500000007</v>
      </c>
      <c r="I341" s="35">
        <f>F341 * G341 * 1489935.448251</f>
        <v>14899.35448251</v>
      </c>
      <c r="J341" s="35">
        <f>F341 * G341 * 0</f>
        <v>0</v>
      </c>
      <c r="K341" s="35">
        <f>F341 * G341 * 72392.065396</f>
        <v>723.9206539600001</v>
      </c>
      <c r="L341" s="35">
        <f>F341 * G341 * 172028.807911</f>
        <v>1720.2880791100001</v>
      </c>
      <c r="M341" s="35">
        <f>F341 * G341 * 15208.4171</f>
        <v>152.084171</v>
      </c>
      <c r="N341" s="36">
        <f>SUM(H341:M341)</f>
        <v>18256.06824158</v>
      </c>
      <c r="O341" s="71">
        <f t="shared" si="126"/>
        <v>22356.655009662496</v>
      </c>
      <c r="P341" s="37">
        <f t="shared" si="127"/>
        <v>0.15058637117188339</v>
      </c>
    </row>
    <row r="342" spans="2:16" x14ac:dyDescent="0.25">
      <c r="B342" s="38"/>
      <c r="C342" s="39" t="s">
        <v>772</v>
      </c>
      <c r="D342" s="41" t="s">
        <v>773</v>
      </c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</row>
    <row r="343" spans="2:16" ht="30" x14ac:dyDescent="0.25">
      <c r="B343" s="30">
        <v>207</v>
      </c>
      <c r="C343" s="31" t="s">
        <v>774</v>
      </c>
      <c r="D343" s="32" t="s">
        <v>775</v>
      </c>
      <c r="E343" s="32" t="s">
        <v>268</v>
      </c>
      <c r="F343" s="33">
        <v>0.01</v>
      </c>
      <c r="G343" s="34">
        <v>1</v>
      </c>
      <c r="H343" s="35">
        <f>F343 * G343 * 84262.8515</f>
        <v>842.62851500000011</v>
      </c>
      <c r="I343" s="35">
        <f>F343 * G343 * 10112.522572</f>
        <v>101.12522572</v>
      </c>
      <c r="J343" s="35">
        <f>F343 * G343 * 0</f>
        <v>0</v>
      </c>
      <c r="K343" s="35">
        <f>F343 * G343 * 80218.234628</f>
        <v>802.18234628000005</v>
      </c>
      <c r="L343" s="35">
        <f>F343 * G343 * 18332.328913</f>
        <v>183.32328913000001</v>
      </c>
      <c r="M343" s="35">
        <f>F343 * G343 * 16852.5703</f>
        <v>168.52570299999999</v>
      </c>
      <c r="N343" s="36">
        <f>SUM(H343:M343)</f>
        <v>2097.7850791299998</v>
      </c>
      <c r="O343" s="71">
        <f t="shared" ref="O343:O345" si="128">N343*1.07*1.09*1.05</f>
        <v>2568.9790746787853</v>
      </c>
      <c r="P343" s="37">
        <f t="shared" ref="P343:P345" si="129">IF($P$9&gt;0,O343/$P$9/12,0)</f>
        <v>1.7303717228949678E-2</v>
      </c>
    </row>
    <row r="344" spans="2:16" ht="30" x14ac:dyDescent="0.25">
      <c r="B344" s="30">
        <v>208</v>
      </c>
      <c r="C344" s="31" t="s">
        <v>776</v>
      </c>
      <c r="D344" s="32" t="s">
        <v>777</v>
      </c>
      <c r="E344" s="32" t="s">
        <v>268</v>
      </c>
      <c r="F344" s="33">
        <v>0.01</v>
      </c>
      <c r="G344" s="34">
        <v>1</v>
      </c>
      <c r="H344" s="35">
        <f>F344 * G344 * 110980.341</f>
        <v>1109.80341</v>
      </c>
      <c r="I344" s="35">
        <f>F344 * G344 * 32438.651718</f>
        <v>324.38651718</v>
      </c>
      <c r="J344" s="35">
        <f>F344 * G344 * 0</f>
        <v>0</v>
      </c>
      <c r="K344" s="35">
        <f>F344 * G344 * 105653.284632</f>
        <v>1056.5328463199999</v>
      </c>
      <c r="L344" s="35">
        <f>F344 * G344 * 26152.589122</f>
        <v>261.52589122000001</v>
      </c>
      <c r="M344" s="35">
        <f>F344 * G344 * 22196.0682</f>
        <v>221.96068200000002</v>
      </c>
      <c r="N344" s="36">
        <f>SUM(H344:M344)</f>
        <v>2974.2093467199998</v>
      </c>
      <c r="O344" s="71">
        <f t="shared" si="128"/>
        <v>3642.2613791335129</v>
      </c>
      <c r="P344" s="37">
        <f t="shared" si="129"/>
        <v>2.4532960038349452E-2</v>
      </c>
    </row>
    <row r="345" spans="2:16" ht="30" x14ac:dyDescent="0.25">
      <c r="B345" s="30">
        <v>209</v>
      </c>
      <c r="C345" s="31" t="s">
        <v>778</v>
      </c>
      <c r="D345" s="32" t="s">
        <v>779</v>
      </c>
      <c r="E345" s="32" t="s">
        <v>268</v>
      </c>
      <c r="F345" s="33">
        <v>0.01</v>
      </c>
      <c r="G345" s="34">
        <v>1</v>
      </c>
      <c r="H345" s="35">
        <f>F345 * G345 * 164415.32</f>
        <v>1644.1532000000002</v>
      </c>
      <c r="I345" s="35">
        <f>F345 * G345 * 32558.860251</f>
        <v>325.58860250999999</v>
      </c>
      <c r="J345" s="35">
        <f>F345 * G345 * 0</f>
        <v>0</v>
      </c>
      <c r="K345" s="35">
        <f>F345 * G345 * 156523.38464</f>
        <v>1565.2338464000002</v>
      </c>
      <c r="L345" s="35">
        <f>F345 * G345 * 37117.244313</f>
        <v>371.17244313000003</v>
      </c>
      <c r="M345" s="35">
        <f>F345 * G345 * 32883.064</f>
        <v>328.83064000000002</v>
      </c>
      <c r="N345" s="36">
        <f>SUM(H345:M345)</f>
        <v>4234.9787320400001</v>
      </c>
      <c r="O345" s="71">
        <f t="shared" si="128"/>
        <v>5186.2184799371653</v>
      </c>
      <c r="P345" s="37">
        <f t="shared" si="129"/>
        <v>3.4932498652448844E-2</v>
      </c>
    </row>
    <row r="346" spans="2:16" x14ac:dyDescent="0.25">
      <c r="B346" s="38"/>
      <c r="C346" s="39" t="s">
        <v>780</v>
      </c>
      <c r="D346" s="41" t="s">
        <v>781</v>
      </c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</row>
    <row r="347" spans="2:16" ht="30" x14ac:dyDescent="0.25">
      <c r="B347" s="30">
        <v>210</v>
      </c>
      <c r="C347" s="31" t="s">
        <v>782</v>
      </c>
      <c r="D347" s="32" t="s">
        <v>783</v>
      </c>
      <c r="E347" s="32" t="s">
        <v>784</v>
      </c>
      <c r="F347" s="33">
        <v>0.02</v>
      </c>
      <c r="G347" s="34">
        <v>1</v>
      </c>
      <c r="H347" s="35">
        <f>F347 * G347 * 17058.08945</f>
        <v>341.161789</v>
      </c>
      <c r="I347" s="35">
        <f>F347 * G347 * 35950.208138</f>
        <v>719.0041627600001</v>
      </c>
      <c r="J347" s="35">
        <f>F347 * G347 * 0</f>
        <v>0</v>
      </c>
      <c r="K347" s="35">
        <f>F347 * G347 * 16239.3011569999</f>
        <v>324.78602313999801</v>
      </c>
      <c r="L347" s="35">
        <f>F347 * G347 * 7270.997868</f>
        <v>145.41995736000001</v>
      </c>
      <c r="M347" s="35">
        <f>F347 * G347 * 3411.61789</f>
        <v>68.232357800000003</v>
      </c>
      <c r="N347" s="36">
        <f>SUM(H347:M347)</f>
        <v>1598.6042900599982</v>
      </c>
      <c r="O347" s="71">
        <f>N347*1.07*1.09*1.05</f>
        <v>1957.6747926718251</v>
      </c>
      <c r="P347" s="37">
        <f t="shared" ref="P347" si="130">IF($P$9&gt;0,O347/$P$9/12,0)</f>
        <v>1.3186191889426562E-2</v>
      </c>
    </row>
    <row r="348" spans="2:16" x14ac:dyDescent="0.25">
      <c r="B348" s="38"/>
      <c r="C348" s="39" t="s">
        <v>785</v>
      </c>
      <c r="D348" s="41" t="s">
        <v>786</v>
      </c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</row>
    <row r="349" spans="2:16" ht="30" x14ac:dyDescent="0.25">
      <c r="B349" s="30">
        <v>211</v>
      </c>
      <c r="C349" s="31" t="s">
        <v>787</v>
      </c>
      <c r="D349" s="32" t="s">
        <v>788</v>
      </c>
      <c r="E349" s="32" t="s">
        <v>784</v>
      </c>
      <c r="F349" s="33">
        <v>0.02</v>
      </c>
      <c r="G349" s="34">
        <v>1</v>
      </c>
      <c r="H349" s="35">
        <f>F349 * G349 * 12483.9693</f>
        <v>249.67938600000002</v>
      </c>
      <c r="I349" s="35">
        <f>F349 * G349 * 20633.532092</f>
        <v>412.67064184000003</v>
      </c>
      <c r="J349" s="35">
        <f>F349 * G349 * 0</f>
        <v>0</v>
      </c>
      <c r="K349" s="35">
        <f>F349 * G349 * 11884.738774</f>
        <v>237.69477548</v>
      </c>
      <c r="L349" s="35">
        <f>F349 * G349 * 4725.235218</f>
        <v>94.504704359999991</v>
      </c>
      <c r="M349" s="35">
        <f>F349 * G349 * 2496.79386</f>
        <v>49.935877200000007</v>
      </c>
      <c r="N349" s="36">
        <f>SUM(H349:M349)</f>
        <v>1044.4853848800001</v>
      </c>
      <c r="O349" s="71">
        <f>N349*1.07*1.09*1.05</f>
        <v>1279.0924696048212</v>
      </c>
      <c r="P349" s="37">
        <f t="shared" ref="P349" si="131">IF($P$9&gt;0,O349/$P$9/12,0)</f>
        <v>8.6155059112298007E-3</v>
      </c>
    </row>
    <row r="350" spans="2:16" x14ac:dyDescent="0.25">
      <c r="B350" s="38"/>
      <c r="C350" s="39" t="s">
        <v>789</v>
      </c>
      <c r="D350" s="41" t="s">
        <v>790</v>
      </c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</row>
    <row r="351" spans="2:16" ht="30" x14ac:dyDescent="0.25">
      <c r="B351" s="30">
        <v>212</v>
      </c>
      <c r="C351" s="31" t="s">
        <v>791</v>
      </c>
      <c r="D351" s="32" t="s">
        <v>792</v>
      </c>
      <c r="E351" s="32" t="s">
        <v>793</v>
      </c>
      <c r="F351" s="33">
        <v>0.01</v>
      </c>
      <c r="G351" s="34">
        <v>1</v>
      </c>
      <c r="H351" s="35">
        <f>F351 * G351 * 11858.1424</f>
        <v>118.58142400000001</v>
      </c>
      <c r="I351" s="35">
        <f>F351 * G351 * 37939.779207</f>
        <v>379.39779206999998</v>
      </c>
      <c r="J351" s="35">
        <f>F351 * G351 * 0</f>
        <v>0</v>
      </c>
      <c r="K351" s="35">
        <f>F351 * G351 * 11288.951565</f>
        <v>112.88951564999999</v>
      </c>
      <c r="L351" s="35">
        <f>F351 * G351 * 6414.121683</f>
        <v>64.141216830000005</v>
      </c>
      <c r="M351" s="35">
        <f>F351 * G351 * 2371.62848</f>
        <v>23.7162848</v>
      </c>
      <c r="N351" s="36">
        <f>SUM(H351:M351)</f>
        <v>698.72623335000003</v>
      </c>
      <c r="O351" s="71">
        <f>N351*1.07*1.09*1.05</f>
        <v>855.67062625391043</v>
      </c>
      <c r="P351" s="37">
        <f t="shared" ref="P351" si="132">IF($P$9&gt;0,O351/$P$9/12,0)</f>
        <v>5.7634889687325575E-3</v>
      </c>
    </row>
    <row r="352" spans="2:16" x14ac:dyDescent="0.25">
      <c r="B352" s="38"/>
      <c r="C352" s="39" t="s">
        <v>794</v>
      </c>
      <c r="D352" s="40" t="s">
        <v>795</v>
      </c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2:16" x14ac:dyDescent="0.25">
      <c r="B353" s="38"/>
      <c r="C353" s="39" t="s">
        <v>796</v>
      </c>
      <c r="D353" s="41" t="s">
        <v>797</v>
      </c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</row>
    <row r="354" spans="2:16" ht="30" x14ac:dyDescent="0.25">
      <c r="B354" s="30">
        <v>213</v>
      </c>
      <c r="C354" s="31" t="s">
        <v>798</v>
      </c>
      <c r="D354" s="32" t="s">
        <v>799</v>
      </c>
      <c r="E354" s="32" t="s">
        <v>800</v>
      </c>
      <c r="F354" s="33">
        <v>2</v>
      </c>
      <c r="G354" s="34">
        <v>1</v>
      </c>
      <c r="H354" s="35">
        <f>F354 * G354 * 86.655656</f>
        <v>173.31131199999999</v>
      </c>
      <c r="I354" s="35">
        <f>F354 * G354 * 404.57232</f>
        <v>809.14463999999998</v>
      </c>
      <c r="J354" s="35">
        <f>F354 * G354 * 0</f>
        <v>0</v>
      </c>
      <c r="K354" s="35">
        <f>F354 * G354 * 82.496184</f>
        <v>164.992368</v>
      </c>
      <c r="L354" s="35">
        <f>F354 * G354 * 60.241037</f>
        <v>120.482074</v>
      </c>
      <c r="M354" s="35">
        <f>F354 * G354 * 17.331131</f>
        <v>34.662261999999998</v>
      </c>
      <c r="N354" s="36">
        <f>SUM(H354:M354)</f>
        <v>1302.592656</v>
      </c>
      <c r="O354" s="71">
        <f t="shared" ref="O354:O355" si="133">N354*1.07*1.09*1.05</f>
        <v>1595.1745054274404</v>
      </c>
      <c r="P354" s="37">
        <f t="shared" ref="P354:P355" si="134">IF($P$9&gt;0,O354/$P$9/12,0)</f>
        <v>1.0744520593729392E-2</v>
      </c>
    </row>
    <row r="355" spans="2:16" ht="30" x14ac:dyDescent="0.25">
      <c r="B355" s="30">
        <v>214</v>
      </c>
      <c r="C355" s="31" t="s">
        <v>801</v>
      </c>
      <c r="D355" s="32" t="s">
        <v>802</v>
      </c>
      <c r="E355" s="32" t="s">
        <v>800</v>
      </c>
      <c r="F355" s="33">
        <v>2</v>
      </c>
      <c r="G355" s="34">
        <v>1</v>
      </c>
      <c r="H355" s="35">
        <f>F355 * G355 * 86.655656</f>
        <v>173.31131199999999</v>
      </c>
      <c r="I355" s="35">
        <f>F355 * G355 * 632.772</f>
        <v>1265.5440000000001</v>
      </c>
      <c r="J355" s="35">
        <f>F355 * G355 * 0</f>
        <v>0</v>
      </c>
      <c r="K355" s="35">
        <f>F355 * G355 * 82.496184</f>
        <v>164.992368</v>
      </c>
      <c r="L355" s="35">
        <f>F355 * G355 * 84.202003</f>
        <v>168.40400600000001</v>
      </c>
      <c r="M355" s="35">
        <f>F355 * G355 * 17.331131</f>
        <v>34.662261999999998</v>
      </c>
      <c r="N355" s="36">
        <f>SUM(H355:M355)</f>
        <v>1806.9139480000001</v>
      </c>
      <c r="O355" s="71">
        <f t="shared" si="133"/>
        <v>2212.7739244300205</v>
      </c>
      <c r="P355" s="37">
        <f t="shared" si="134"/>
        <v>1.4904447707390482E-2</v>
      </c>
    </row>
    <row r="356" spans="2:16" x14ac:dyDescent="0.25">
      <c r="B356" s="38"/>
      <c r="C356" s="39" t="s">
        <v>803</v>
      </c>
      <c r="D356" s="41" t="s">
        <v>804</v>
      </c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</row>
    <row r="357" spans="2:16" ht="30" x14ac:dyDescent="0.25">
      <c r="B357" s="30">
        <v>215</v>
      </c>
      <c r="C357" s="31" t="s">
        <v>805</v>
      </c>
      <c r="D357" s="32" t="s">
        <v>806</v>
      </c>
      <c r="E357" s="32" t="s">
        <v>800</v>
      </c>
      <c r="F357" s="33">
        <v>2</v>
      </c>
      <c r="G357" s="34">
        <v>1</v>
      </c>
      <c r="H357" s="35">
        <f>F357 * G357 * 86.655656</f>
        <v>173.31131199999999</v>
      </c>
      <c r="I357" s="35">
        <f>F357 * G357 * 1234.50804</f>
        <v>2469.0160799999999</v>
      </c>
      <c r="J357" s="35">
        <f>F357 * G357 * 0</f>
        <v>0</v>
      </c>
      <c r="K357" s="35">
        <f>F357 * G357 * 82.496184</f>
        <v>164.992368</v>
      </c>
      <c r="L357" s="35">
        <f>F357 * G357 * 147.384287</f>
        <v>294.768574</v>
      </c>
      <c r="M357" s="35">
        <f>F357 * G357 * 17.331131</f>
        <v>34.662261999999998</v>
      </c>
      <c r="N357" s="36">
        <f>SUM(H357:M357)</f>
        <v>3136.7505959999999</v>
      </c>
      <c r="O357" s="71">
        <f t="shared" ref="O357:O359" si="135">N357*1.07*1.09*1.05</f>
        <v>3841.3118311205403</v>
      </c>
      <c r="P357" s="37">
        <f t="shared" ref="P357:P359" si="136">IF($P$9&gt;0,O357/$P$9/12,0)</f>
        <v>2.5873692148403252E-2</v>
      </c>
    </row>
    <row r="358" spans="2:16" ht="30" x14ac:dyDescent="0.25">
      <c r="B358" s="30">
        <v>216</v>
      </c>
      <c r="C358" s="31" t="s">
        <v>807</v>
      </c>
      <c r="D358" s="32" t="s">
        <v>808</v>
      </c>
      <c r="E358" s="32" t="s">
        <v>800</v>
      </c>
      <c r="F358" s="33">
        <v>2</v>
      </c>
      <c r="G358" s="34">
        <v>1</v>
      </c>
      <c r="H358" s="35">
        <f>F358 * G358 * 86.655656</f>
        <v>173.31131199999999</v>
      </c>
      <c r="I358" s="35">
        <f>F358 * G358 * 1890.2808</f>
        <v>3780.5616</v>
      </c>
      <c r="J358" s="35">
        <f>F358 * G358 * 0</f>
        <v>0</v>
      </c>
      <c r="K358" s="35">
        <f>F358 * G358 * 82.496184</f>
        <v>164.992368</v>
      </c>
      <c r="L358" s="35">
        <f>F358 * G358 * 216.240427</f>
        <v>432.48085400000002</v>
      </c>
      <c r="M358" s="35">
        <f>F358 * G358 * 17.331131</f>
        <v>34.662261999999998</v>
      </c>
      <c r="N358" s="36">
        <f>SUM(H358:M358)</f>
        <v>4586.0083960000002</v>
      </c>
      <c r="O358" s="71">
        <f t="shared" si="135"/>
        <v>5616.0946718675414</v>
      </c>
      <c r="P358" s="37">
        <f t="shared" si="136"/>
        <v>3.7827989760935592E-2</v>
      </c>
    </row>
    <row r="359" spans="2:16" ht="45" x14ac:dyDescent="0.25">
      <c r="B359" s="30">
        <v>217</v>
      </c>
      <c r="C359" s="31" t="s">
        <v>809</v>
      </c>
      <c r="D359" s="32" t="s">
        <v>810</v>
      </c>
      <c r="E359" s="32" t="s">
        <v>811</v>
      </c>
      <c r="F359" s="33">
        <v>1</v>
      </c>
      <c r="G359" s="34">
        <v>2</v>
      </c>
      <c r="H359" s="35">
        <f>F359 * G359 * 13171.2352</f>
        <v>26342.470399999998</v>
      </c>
      <c r="I359" s="35">
        <f>F359 * G359 * 0</f>
        <v>0</v>
      </c>
      <c r="J359" s="35">
        <f>F359 * G359 * 0</f>
        <v>0</v>
      </c>
      <c r="K359" s="35">
        <f>F359 * G359 * 12539.0159099999</f>
        <v>25078.0318199998</v>
      </c>
      <c r="L359" s="35">
        <f>F359 * G359 * 2699.576367</f>
        <v>5399.1527340000002</v>
      </c>
      <c r="M359" s="35">
        <f>F359 * G359 * 2634.24704</f>
        <v>5268.4940800000004</v>
      </c>
      <c r="N359" s="36">
        <f>SUM(H359:M359)</f>
        <v>62088.149033999798</v>
      </c>
      <c r="O359" s="71">
        <f t="shared" si="135"/>
        <v>76034.07862927168</v>
      </c>
      <c r="P359" s="37">
        <f t="shared" si="136"/>
        <v>0.51213815220707837</v>
      </c>
    </row>
    <row r="360" spans="2:16" ht="28.5" x14ac:dyDescent="0.25">
      <c r="B360" s="27"/>
      <c r="C360" s="28" t="s">
        <v>314</v>
      </c>
      <c r="D360" s="29" t="s">
        <v>315</v>
      </c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</row>
    <row r="361" spans="2:16" x14ac:dyDescent="0.25">
      <c r="B361" s="38"/>
      <c r="C361" s="39" t="s">
        <v>812</v>
      </c>
      <c r="D361" s="40" t="s">
        <v>813</v>
      </c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2:16" ht="28.5" x14ac:dyDescent="0.25">
      <c r="B362" s="38"/>
      <c r="C362" s="39" t="s">
        <v>814</v>
      </c>
      <c r="D362" s="41" t="s">
        <v>815</v>
      </c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</row>
    <row r="363" spans="2:16" ht="30" x14ac:dyDescent="0.25">
      <c r="B363" s="30">
        <v>218</v>
      </c>
      <c r="C363" s="31" t="s">
        <v>816</v>
      </c>
      <c r="D363" s="32" t="s">
        <v>817</v>
      </c>
      <c r="E363" s="32" t="s">
        <v>818</v>
      </c>
      <c r="F363" s="33">
        <v>1.7410000000000001</v>
      </c>
      <c r="G363" s="34">
        <v>1</v>
      </c>
      <c r="H363" s="35">
        <f>F363 * G363 * 912.1648</f>
        <v>1588.0789168000001</v>
      </c>
      <c r="I363" s="35">
        <f>F363 * G363 * 0</f>
        <v>0</v>
      </c>
      <c r="J363" s="35">
        <f>F363 * G363 * 0</f>
        <v>0</v>
      </c>
      <c r="K363" s="35">
        <f>F363 * G363 * 868.380889999999</f>
        <v>1511.8511294899984</v>
      </c>
      <c r="L363" s="35">
        <f>F363 * G363 * 186.957296999999</f>
        <v>325.49265407699824</v>
      </c>
      <c r="M363" s="35">
        <f>F363 * G363 * 182.43296</f>
        <v>317.61578336000002</v>
      </c>
      <c r="N363" s="36">
        <f>SUM(H363:M363)</f>
        <v>3743.0384837269967</v>
      </c>
      <c r="O363" s="71">
        <f>N363*1.07*1.09*1.05</f>
        <v>4583.781072749337</v>
      </c>
      <c r="P363" s="37">
        <f t="shared" ref="P363" si="137">IF($P$9&gt;0,O363/$P$9/12,0)</f>
        <v>3.0874697386230582E-2</v>
      </c>
    </row>
    <row r="364" spans="2:16" ht="28.5" x14ac:dyDescent="0.25">
      <c r="B364" s="38"/>
      <c r="C364" s="39" t="s">
        <v>819</v>
      </c>
      <c r="D364" s="41" t="s">
        <v>820</v>
      </c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</row>
    <row r="365" spans="2:16" ht="30" x14ac:dyDescent="0.25">
      <c r="B365" s="30">
        <v>219</v>
      </c>
      <c r="C365" s="31" t="s">
        <v>821</v>
      </c>
      <c r="D365" s="32" t="s">
        <v>822</v>
      </c>
      <c r="E365" s="32" t="s">
        <v>501</v>
      </c>
      <c r="F365" s="33">
        <v>0.41</v>
      </c>
      <c r="G365" s="34">
        <v>1</v>
      </c>
      <c r="H365" s="35">
        <f>F365 * G365 * 847.96272</f>
        <v>347.66471519999999</v>
      </c>
      <c r="I365" s="35">
        <f>F365 * G365 * 0</f>
        <v>0</v>
      </c>
      <c r="J365" s="35">
        <f>F365 * G365 * 68.63325</f>
        <v>28.139632500000001</v>
      </c>
      <c r="K365" s="35">
        <f>F365 * G365 * 807.260509</f>
        <v>330.97680868999998</v>
      </c>
      <c r="L365" s="35">
        <f>F365 * G365 * 181.00493</f>
        <v>74.212021299999989</v>
      </c>
      <c r="M365" s="35">
        <f>F365 * G365 * 169.592544</f>
        <v>69.532943039999992</v>
      </c>
      <c r="N365" s="36">
        <f t="shared" ref="N365:N371" si="138">SUM(H365:M365)</f>
        <v>850.52612072999989</v>
      </c>
      <c r="O365" s="71">
        <f t="shared" ref="O365:O371" si="139">N365*1.07*1.09*1.05</f>
        <v>1041.5670453377691</v>
      </c>
      <c r="P365" s="37">
        <f t="shared" ref="P365:P371" si="140">IF($P$9&gt;0,O365/$P$9/12,0)</f>
        <v>7.0156202536491609E-3</v>
      </c>
    </row>
    <row r="366" spans="2:16" ht="30" x14ac:dyDescent="0.25">
      <c r="B366" s="30">
        <v>220</v>
      </c>
      <c r="C366" s="31" t="s">
        <v>823</v>
      </c>
      <c r="D366" s="32" t="s">
        <v>824</v>
      </c>
      <c r="E366" s="32" t="s">
        <v>501</v>
      </c>
      <c r="F366" s="33">
        <v>0.41</v>
      </c>
      <c r="G366" s="34">
        <v>1</v>
      </c>
      <c r="H366" s="35">
        <f>F366 * G366 * 794.001456</f>
        <v>325.54059695999996</v>
      </c>
      <c r="I366" s="35">
        <f>F366 * G366 * 8.09838</f>
        <v>3.3203358000000001</v>
      </c>
      <c r="J366" s="35">
        <f>F366 * G366 * 0</f>
        <v>0</v>
      </c>
      <c r="K366" s="35">
        <f>F366 * G366 * 755.889386</f>
        <v>309.91464825999998</v>
      </c>
      <c r="L366" s="35">
        <f>F366 * G366 * 163.588868</f>
        <v>67.071435879999996</v>
      </c>
      <c r="M366" s="35">
        <f>F366 * G366 * 158.800291</f>
        <v>65.108119309999992</v>
      </c>
      <c r="N366" s="36">
        <f t="shared" si="138"/>
        <v>770.95513620999986</v>
      </c>
      <c r="O366" s="71">
        <f t="shared" si="139"/>
        <v>944.12322412980905</v>
      </c>
      <c r="P366" s="37">
        <f t="shared" si="140"/>
        <v>6.3592737911534721E-3</v>
      </c>
    </row>
    <row r="367" spans="2:16" ht="30" x14ac:dyDescent="0.25">
      <c r="B367" s="30">
        <v>221</v>
      </c>
      <c r="C367" s="31" t="s">
        <v>825</v>
      </c>
      <c r="D367" s="32" t="s">
        <v>826</v>
      </c>
      <c r="E367" s="32" t="s">
        <v>501</v>
      </c>
      <c r="F367" s="33">
        <v>0.41</v>
      </c>
      <c r="G367" s="34">
        <v>1</v>
      </c>
      <c r="H367" s="35">
        <f>F367 * G367 * 334.045917</f>
        <v>136.95882596999999</v>
      </c>
      <c r="I367" s="35">
        <f>F367 * G367 * 0</f>
        <v>0</v>
      </c>
      <c r="J367" s="35">
        <f>F367 * G367 * 68.63325</f>
        <v>28.139632500000001</v>
      </c>
      <c r="K367" s="35">
        <f>F367 * G367 * 318.011713</f>
        <v>130.38480232999999</v>
      </c>
      <c r="L367" s="35">
        <f>F367 * G367 * 75.6725419999999</f>
        <v>31.025742219999955</v>
      </c>
      <c r="M367" s="35">
        <f>F367 * G367 * 66.809183</f>
        <v>27.391765030000002</v>
      </c>
      <c r="N367" s="36">
        <f t="shared" si="138"/>
        <v>353.9007680499999</v>
      </c>
      <c r="O367" s="71">
        <f t="shared" si="139"/>
        <v>433.39218906555072</v>
      </c>
      <c r="P367" s="37">
        <f t="shared" si="140"/>
        <v>2.919173598081358E-3</v>
      </c>
    </row>
    <row r="368" spans="2:16" ht="30" x14ac:dyDescent="0.25">
      <c r="B368" s="30">
        <v>222</v>
      </c>
      <c r="C368" s="31" t="s">
        <v>827</v>
      </c>
      <c r="D368" s="32" t="s">
        <v>828</v>
      </c>
      <c r="E368" s="32" t="s">
        <v>501</v>
      </c>
      <c r="F368" s="33">
        <v>0.46</v>
      </c>
      <c r="G368" s="34">
        <v>1</v>
      </c>
      <c r="H368" s="35">
        <f>F368 * G368 * 847.96272</f>
        <v>390.06285120000001</v>
      </c>
      <c r="I368" s="35">
        <f>F368 * G368 * 0</f>
        <v>0</v>
      </c>
      <c r="J368" s="35">
        <f>F368 * G368 * 68.63325</f>
        <v>31.571295000000003</v>
      </c>
      <c r="K368" s="35">
        <f>F368 * G368 * 807.260509</f>
        <v>371.33983413999999</v>
      </c>
      <c r="L368" s="35">
        <f>F368 * G368 * 181.00493</f>
        <v>83.262267800000004</v>
      </c>
      <c r="M368" s="35">
        <f>F368 * G368 * 169.592544</f>
        <v>78.012570240000002</v>
      </c>
      <c r="N368" s="36">
        <f t="shared" si="138"/>
        <v>954.2488183800001</v>
      </c>
      <c r="O368" s="71">
        <f t="shared" si="139"/>
        <v>1168.5874167204242</v>
      </c>
      <c r="P368" s="37">
        <f t="shared" si="140"/>
        <v>7.871183699216135E-3</v>
      </c>
    </row>
    <row r="369" spans="2:16" ht="30" x14ac:dyDescent="0.25">
      <c r="B369" s="30">
        <v>223</v>
      </c>
      <c r="C369" s="31" t="s">
        <v>829</v>
      </c>
      <c r="D369" s="32" t="s">
        <v>830</v>
      </c>
      <c r="E369" s="32" t="s">
        <v>501</v>
      </c>
      <c r="F369" s="33">
        <v>0.46</v>
      </c>
      <c r="G369" s="34">
        <v>1</v>
      </c>
      <c r="H369" s="35">
        <f>F369 * G369 * 794.001456</f>
        <v>365.24066976</v>
      </c>
      <c r="I369" s="35">
        <f>F369 * G369 * 8.09838</f>
        <v>3.7252548000000005</v>
      </c>
      <c r="J369" s="35">
        <f>F369 * G369 * 0</f>
        <v>0</v>
      </c>
      <c r="K369" s="35">
        <f>F369 * G369 * 755.889386</f>
        <v>347.70911755999998</v>
      </c>
      <c r="L369" s="35">
        <f>F369 * G369 * 163.588868</f>
        <v>75.250879279999992</v>
      </c>
      <c r="M369" s="35">
        <f>F369 * G369 * 158.800291</f>
        <v>73.048133859999993</v>
      </c>
      <c r="N369" s="36">
        <f t="shared" si="138"/>
        <v>864.97405525999989</v>
      </c>
      <c r="O369" s="71">
        <f t="shared" si="139"/>
        <v>1059.2602026822249</v>
      </c>
      <c r="P369" s="37">
        <f t="shared" si="140"/>
        <v>7.1347949851965796E-3</v>
      </c>
    </row>
    <row r="370" spans="2:16" ht="30" x14ac:dyDescent="0.25">
      <c r="B370" s="30">
        <v>224</v>
      </c>
      <c r="C370" s="31" t="s">
        <v>831</v>
      </c>
      <c r="D370" s="32" t="s">
        <v>832</v>
      </c>
      <c r="E370" s="32" t="s">
        <v>501</v>
      </c>
      <c r="F370" s="33">
        <v>0.46</v>
      </c>
      <c r="G370" s="34">
        <v>1</v>
      </c>
      <c r="H370" s="35">
        <f>F370 * G370 * 331.476336</f>
        <v>152.47911456</v>
      </c>
      <c r="I370" s="35">
        <f>F370 * G370 * 0</f>
        <v>0</v>
      </c>
      <c r="J370" s="35">
        <f>F370 * G370 * 68.63325</f>
        <v>31.571295000000003</v>
      </c>
      <c r="K370" s="35">
        <f>F370 * G370 * 315.565471</f>
        <v>145.16011666</v>
      </c>
      <c r="L370" s="35">
        <f>F370 * G370 * 75.1458809999999</f>
        <v>34.567105259999956</v>
      </c>
      <c r="M370" s="35">
        <f>F370 * G370 * 66.295267</f>
        <v>30.495822820000001</v>
      </c>
      <c r="N370" s="36">
        <f t="shared" si="138"/>
        <v>394.27345429999997</v>
      </c>
      <c r="O370" s="71">
        <f t="shared" si="139"/>
        <v>482.83318623759453</v>
      </c>
      <c r="P370" s="37">
        <f t="shared" si="140"/>
        <v>3.2521903373046294E-3</v>
      </c>
    </row>
    <row r="371" spans="2:16" ht="30" x14ac:dyDescent="0.25">
      <c r="B371" s="30">
        <v>225</v>
      </c>
      <c r="C371" s="31" t="s">
        <v>833</v>
      </c>
      <c r="D371" s="32" t="s">
        <v>834</v>
      </c>
      <c r="E371" s="32" t="s">
        <v>501</v>
      </c>
      <c r="F371" s="33">
        <v>0.46</v>
      </c>
      <c r="G371" s="34">
        <v>1</v>
      </c>
      <c r="H371" s="35">
        <f>F371 * G371 * 24.29286</f>
        <v>11.174715600000001</v>
      </c>
      <c r="I371" s="35">
        <f>F371 * G371 * 0</f>
        <v>0</v>
      </c>
      <c r="J371" s="35">
        <f>F371 * G371 * 0</f>
        <v>0</v>
      </c>
      <c r="K371" s="35">
        <f>F371 * G371 * 23.126803</f>
        <v>10.63832938</v>
      </c>
      <c r="L371" s="35">
        <f>F371 * G371 * 4.97906399999999</f>
        <v>2.2903694399999956</v>
      </c>
      <c r="M371" s="35">
        <f>F371 * G371 * 4.858572</f>
        <v>2.2349431200000001</v>
      </c>
      <c r="N371" s="36">
        <f t="shared" si="138"/>
        <v>26.338357539999997</v>
      </c>
      <c r="O371" s="71">
        <f t="shared" si="139"/>
        <v>32.254347718847107</v>
      </c>
      <c r="P371" s="37">
        <f t="shared" si="140"/>
        <v>2.1725366229420672E-4</v>
      </c>
    </row>
    <row r="372" spans="2:16" ht="28.5" x14ac:dyDescent="0.25">
      <c r="B372" s="38"/>
      <c r="C372" s="39" t="s">
        <v>835</v>
      </c>
      <c r="D372" s="41" t="s">
        <v>836</v>
      </c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</row>
    <row r="373" spans="2:16" ht="30" x14ac:dyDescent="0.25">
      <c r="B373" s="30">
        <v>226</v>
      </c>
      <c r="C373" s="31" t="s">
        <v>837</v>
      </c>
      <c r="D373" s="32" t="s">
        <v>838</v>
      </c>
      <c r="E373" s="32" t="s">
        <v>839</v>
      </c>
      <c r="F373" s="33">
        <v>25.2</v>
      </c>
      <c r="G373" s="34">
        <v>1</v>
      </c>
      <c r="H373" s="35">
        <f>F373 * G373 * 187.25954</f>
        <v>4718.9404079999995</v>
      </c>
      <c r="I373" s="35">
        <f>F373 * G373 * 0</f>
        <v>0</v>
      </c>
      <c r="J373" s="35">
        <f>F373 * G373 * 0</f>
        <v>0</v>
      </c>
      <c r="K373" s="35">
        <f>F373 * G373 * 178.271081999999</f>
        <v>4492.4312663999754</v>
      </c>
      <c r="L373" s="35">
        <f>F373 * G373 * 38.3807149999999</f>
        <v>967.19401799999753</v>
      </c>
      <c r="M373" s="35">
        <f>F373 * G373 * 37.451908</f>
        <v>943.78808160000006</v>
      </c>
      <c r="N373" s="36">
        <f>SUM(H373:M373)</f>
        <v>11122.353773999974</v>
      </c>
      <c r="O373" s="71">
        <f t="shared" ref="O373:O374" si="141">N373*1.07*1.09*1.05</f>
        <v>13620.60126694698</v>
      </c>
      <c r="P373" s="37">
        <f t="shared" ref="P373:P374" si="142">IF($P$9&gt;0,O373/$P$9/12,0)</f>
        <v>9.1743461491991196E-2</v>
      </c>
    </row>
    <row r="374" spans="2:16" ht="30" x14ac:dyDescent="0.25">
      <c r="B374" s="30">
        <v>227</v>
      </c>
      <c r="C374" s="31" t="s">
        <v>840</v>
      </c>
      <c r="D374" s="32" t="s">
        <v>841</v>
      </c>
      <c r="E374" s="32" t="s">
        <v>839</v>
      </c>
      <c r="F374" s="33">
        <v>25.2</v>
      </c>
      <c r="G374" s="34">
        <v>1</v>
      </c>
      <c r="H374" s="35">
        <f>F374 * G374 * 187.25954</f>
        <v>4718.9404079999995</v>
      </c>
      <c r="I374" s="35">
        <f>F374 * G374 * 0</f>
        <v>0</v>
      </c>
      <c r="J374" s="35">
        <f>F374 * G374 * 0</f>
        <v>0</v>
      </c>
      <c r="K374" s="35">
        <f>F374 * G374 * 178.271081999999</f>
        <v>4492.4312663999754</v>
      </c>
      <c r="L374" s="35">
        <f>F374 * G374 * 38.3807149999999</f>
        <v>967.19401799999753</v>
      </c>
      <c r="M374" s="35">
        <f>F374 * G374 * 37.451908</f>
        <v>943.78808160000006</v>
      </c>
      <c r="N374" s="36">
        <f>SUM(H374:M374)</f>
        <v>11122.353773999974</v>
      </c>
      <c r="O374" s="71">
        <f t="shared" si="141"/>
        <v>13620.60126694698</v>
      </c>
      <c r="P374" s="37">
        <f t="shared" si="142"/>
        <v>9.1743461491991196E-2</v>
      </c>
    </row>
    <row r="375" spans="2:16" x14ac:dyDescent="0.25">
      <c r="B375" s="38"/>
      <c r="C375" s="39" t="s">
        <v>641</v>
      </c>
      <c r="D375" s="40" t="s">
        <v>642</v>
      </c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2:16" ht="28.5" x14ac:dyDescent="0.25">
      <c r="B376" s="38"/>
      <c r="C376" s="39" t="s">
        <v>842</v>
      </c>
      <c r="D376" s="41" t="s">
        <v>843</v>
      </c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</row>
    <row r="377" spans="2:16" ht="30" x14ac:dyDescent="0.25">
      <c r="B377" s="30">
        <v>228</v>
      </c>
      <c r="C377" s="31" t="s">
        <v>844</v>
      </c>
      <c r="D377" s="32" t="s">
        <v>845</v>
      </c>
      <c r="E377" s="32" t="s">
        <v>846</v>
      </c>
      <c r="F377" s="33">
        <v>1</v>
      </c>
      <c r="G377" s="34">
        <v>1</v>
      </c>
      <c r="H377" s="35">
        <f>F377 * G377 * 22.80412</f>
        <v>22.804120000000001</v>
      </c>
      <c r="I377" s="35">
        <f>F377 * G377 * 0</f>
        <v>0</v>
      </c>
      <c r="J377" s="35">
        <f>F377 * G377 * 0</f>
        <v>0</v>
      </c>
      <c r="K377" s="35">
        <f>F377 * G377 * 21.709522</f>
        <v>21.709522</v>
      </c>
      <c r="L377" s="35">
        <f>F377 * G377 * 4.673932</f>
        <v>4.6739319999999998</v>
      </c>
      <c r="M377" s="35">
        <f>F377 * G377 * 4.560824</f>
        <v>4.5608240000000002</v>
      </c>
      <c r="N377" s="36">
        <f>SUM(H377:M377)</f>
        <v>53.748398000000009</v>
      </c>
      <c r="O377" s="71">
        <f t="shared" ref="O377:O379" si="143">N377*1.07*1.09*1.05</f>
        <v>65.821094416770023</v>
      </c>
      <c r="P377" s="37">
        <f t="shared" ref="P377:P379" si="144">IF($P$9&gt;0,O377/$P$9/12,0)</f>
        <v>4.4334717114431792E-4</v>
      </c>
    </row>
    <row r="378" spans="2:16" ht="30" x14ac:dyDescent="0.25">
      <c r="B378" s="30">
        <v>229</v>
      </c>
      <c r="C378" s="31" t="s">
        <v>847</v>
      </c>
      <c r="D378" s="32" t="s">
        <v>848</v>
      </c>
      <c r="E378" s="32" t="s">
        <v>846</v>
      </c>
      <c r="F378" s="33">
        <v>1</v>
      </c>
      <c r="G378" s="34">
        <v>12</v>
      </c>
      <c r="H378" s="35">
        <f>F378 * G378 * 20.24405</f>
        <v>242.92860000000002</v>
      </c>
      <c r="I378" s="35">
        <f>F378 * G378 * 0</f>
        <v>0</v>
      </c>
      <c r="J378" s="35">
        <f>F378 * G378 * 0</f>
        <v>0</v>
      </c>
      <c r="K378" s="35">
        <f>F378 * G378 * 19.272336</f>
        <v>231.26803200000001</v>
      </c>
      <c r="L378" s="35">
        <f>F378 * G378 * 4.149221</f>
        <v>49.790651999999994</v>
      </c>
      <c r="M378" s="35">
        <f>F378 * G378 * 4.04881</f>
        <v>48.585719999999995</v>
      </c>
      <c r="N378" s="36">
        <f>SUM(H378:M378)</f>
        <v>572.57300400000008</v>
      </c>
      <c r="O378" s="71">
        <f t="shared" si="143"/>
        <v>701.18148929346012</v>
      </c>
      <c r="P378" s="37">
        <f t="shared" si="144"/>
        <v>4.722905817527886E-3</v>
      </c>
    </row>
    <row r="379" spans="2:16" ht="45" x14ac:dyDescent="0.25">
      <c r="B379" s="30">
        <v>230</v>
      </c>
      <c r="C379" s="31" t="s">
        <v>849</v>
      </c>
      <c r="D379" s="32" t="s">
        <v>850</v>
      </c>
      <c r="E379" s="32" t="s">
        <v>846</v>
      </c>
      <c r="F379" s="33">
        <v>1</v>
      </c>
      <c r="G379" s="34">
        <v>1</v>
      </c>
      <c r="H379" s="35">
        <f>F379 * G379 * 60.73215</f>
        <v>60.732149999999997</v>
      </c>
      <c r="I379" s="35">
        <f>F379 * G379 * 0</f>
        <v>0</v>
      </c>
      <c r="J379" s="35">
        <f>F379 * G379 * 0</f>
        <v>0</v>
      </c>
      <c r="K379" s="35">
        <f>F379 * G379 * 57.817006</f>
        <v>57.817005999999999</v>
      </c>
      <c r="L379" s="35">
        <f>F379 * G379 * 12.447662</f>
        <v>12.447661999999999</v>
      </c>
      <c r="M379" s="35">
        <f>F379 * G379 * 12.14643</f>
        <v>12.146430000000001</v>
      </c>
      <c r="N379" s="36">
        <f>SUM(H379:M379)</f>
        <v>143.143248</v>
      </c>
      <c r="O379" s="71">
        <f t="shared" si="143"/>
        <v>175.29536864952001</v>
      </c>
      <c r="P379" s="37">
        <f t="shared" si="144"/>
        <v>1.1807264296362756E-3</v>
      </c>
    </row>
    <row r="380" spans="2:16" ht="28.5" x14ac:dyDescent="0.25">
      <c r="B380" s="38"/>
      <c r="C380" s="39" t="s">
        <v>851</v>
      </c>
      <c r="D380" s="41" t="s">
        <v>852</v>
      </c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</row>
    <row r="381" spans="2:16" ht="30" x14ac:dyDescent="0.25">
      <c r="B381" s="30">
        <v>231</v>
      </c>
      <c r="C381" s="31" t="s">
        <v>853</v>
      </c>
      <c r="D381" s="32" t="s">
        <v>854</v>
      </c>
      <c r="E381" s="32" t="s">
        <v>846</v>
      </c>
      <c r="F381" s="33">
        <v>1</v>
      </c>
      <c r="G381" s="34">
        <v>1</v>
      </c>
      <c r="H381" s="35">
        <f>F381 * G381 * 36.486592</f>
        <v>36.486592000000002</v>
      </c>
      <c r="I381" s="35">
        <f>F381 * G381 * 0</f>
        <v>0</v>
      </c>
      <c r="J381" s="35">
        <f>F381 * G381 * 0</f>
        <v>0</v>
      </c>
      <c r="K381" s="35">
        <f>F381 * G381 * 34.735236</f>
        <v>34.735236</v>
      </c>
      <c r="L381" s="35">
        <f>F381 * G381 * 7.478292</f>
        <v>7.4782919999999997</v>
      </c>
      <c r="M381" s="35">
        <f>F381 * G381 * 7.297318</f>
        <v>7.2973179999999997</v>
      </c>
      <c r="N381" s="36">
        <f>SUM(H381:M381)</f>
        <v>85.997438000000002</v>
      </c>
      <c r="O381" s="71">
        <f t="shared" ref="O381:O384" si="145">N381*1.07*1.09*1.05</f>
        <v>105.31375253637003</v>
      </c>
      <c r="P381" s="37">
        <f t="shared" ref="P381:P384" si="146">IF($P$9&gt;0,O381/$P$9/12,0)</f>
        <v>7.0935548372918708E-4</v>
      </c>
    </row>
    <row r="382" spans="2:16" ht="30" x14ac:dyDescent="0.25">
      <c r="B382" s="30">
        <v>232</v>
      </c>
      <c r="C382" s="31" t="s">
        <v>855</v>
      </c>
      <c r="D382" s="32" t="s">
        <v>856</v>
      </c>
      <c r="E382" s="32" t="s">
        <v>846</v>
      </c>
      <c r="F382" s="33">
        <v>1</v>
      </c>
      <c r="G382" s="34">
        <v>12</v>
      </c>
      <c r="H382" s="35">
        <f>F382 * G382 * 20.24405</f>
        <v>242.92860000000002</v>
      </c>
      <c r="I382" s="35">
        <f>F382 * G382 * 0</f>
        <v>0</v>
      </c>
      <c r="J382" s="35">
        <f>F382 * G382 * 0</f>
        <v>0</v>
      </c>
      <c r="K382" s="35">
        <f>F382 * G382 * 19.272336</f>
        <v>231.26803200000001</v>
      </c>
      <c r="L382" s="35">
        <f>F382 * G382 * 4.149221</f>
        <v>49.790651999999994</v>
      </c>
      <c r="M382" s="35">
        <f>F382 * G382 * 4.04881</f>
        <v>48.585719999999995</v>
      </c>
      <c r="N382" s="36">
        <f>SUM(H382:M382)</f>
        <v>572.57300400000008</v>
      </c>
      <c r="O382" s="71">
        <f t="shared" si="145"/>
        <v>701.18148929346012</v>
      </c>
      <c r="P382" s="37">
        <f t="shared" si="146"/>
        <v>4.722905817527886E-3</v>
      </c>
    </row>
    <row r="383" spans="2:16" ht="45" x14ac:dyDescent="0.25">
      <c r="B383" s="30">
        <v>233</v>
      </c>
      <c r="C383" s="31" t="s">
        <v>857</v>
      </c>
      <c r="D383" s="32" t="s">
        <v>858</v>
      </c>
      <c r="E383" s="32" t="s">
        <v>654</v>
      </c>
      <c r="F383" s="33">
        <v>1</v>
      </c>
      <c r="G383" s="34">
        <v>1</v>
      </c>
      <c r="H383" s="35">
        <f>F383 * G383 * 60.73215</f>
        <v>60.732149999999997</v>
      </c>
      <c r="I383" s="35">
        <f>F383 * G383 * 0</f>
        <v>0</v>
      </c>
      <c r="J383" s="35">
        <f>F383 * G383 * 0</f>
        <v>0</v>
      </c>
      <c r="K383" s="35">
        <f>F383 * G383 * 57.817006</f>
        <v>57.817005999999999</v>
      </c>
      <c r="L383" s="35">
        <f>F383 * G383 * 12.447662</f>
        <v>12.447661999999999</v>
      </c>
      <c r="M383" s="35">
        <f>F383 * G383 * 12.14643</f>
        <v>12.146430000000001</v>
      </c>
      <c r="N383" s="36">
        <f>SUM(H383:M383)</f>
        <v>143.143248</v>
      </c>
      <c r="O383" s="71">
        <f t="shared" si="145"/>
        <v>175.29536864952001</v>
      </c>
      <c r="P383" s="37">
        <f t="shared" si="146"/>
        <v>1.1807264296362756E-3</v>
      </c>
    </row>
    <row r="384" spans="2:16" ht="45" x14ac:dyDescent="0.25">
      <c r="B384" s="30">
        <v>234</v>
      </c>
      <c r="C384" s="31" t="s">
        <v>859</v>
      </c>
      <c r="D384" s="32" t="s">
        <v>860</v>
      </c>
      <c r="E384" s="32" t="s">
        <v>654</v>
      </c>
      <c r="F384" s="33">
        <v>1</v>
      </c>
      <c r="G384" s="34">
        <v>1</v>
      </c>
      <c r="H384" s="35">
        <f>F384 * G384 * 196.115432</f>
        <v>196.115432</v>
      </c>
      <c r="I384" s="35">
        <f>F384 * G384 * 0</f>
        <v>0</v>
      </c>
      <c r="J384" s="35">
        <f>F384 * G384 * 0</f>
        <v>0</v>
      </c>
      <c r="K384" s="35">
        <f>F384 * G384 * 186.701891</f>
        <v>186.70189099999999</v>
      </c>
      <c r="L384" s="35">
        <f>F384 * G384 * 40.195819</f>
        <v>40.195819</v>
      </c>
      <c r="M384" s="35">
        <f>F384 * G384 * 39.223086</f>
        <v>39.223086000000002</v>
      </c>
      <c r="N384" s="36">
        <f>SUM(H384:M384)</f>
        <v>462.23622800000004</v>
      </c>
      <c r="O384" s="71">
        <f t="shared" si="145"/>
        <v>566.06141835222024</v>
      </c>
      <c r="P384" s="37">
        <f t="shared" si="146"/>
        <v>3.8127857147336745E-3</v>
      </c>
    </row>
    <row r="385" spans="2:16" ht="28.5" x14ac:dyDescent="0.25">
      <c r="B385" s="43" t="s">
        <v>372</v>
      </c>
      <c r="C385" s="43"/>
      <c r="D385" s="43"/>
      <c r="E385" s="43"/>
      <c r="F385" s="43"/>
      <c r="G385" s="43"/>
      <c r="H385" s="44">
        <f t="shared" ref="H385:P385" si="147">SUM(H305:H384)</f>
        <v>185745.34912441002</v>
      </c>
      <c r="I385" s="44">
        <f t="shared" si="147"/>
        <v>173473.151468375</v>
      </c>
      <c r="J385" s="44">
        <f t="shared" si="147"/>
        <v>119.42185500000001</v>
      </c>
      <c r="K385" s="44">
        <f t="shared" si="147"/>
        <v>176829.57236553472</v>
      </c>
      <c r="L385" s="44">
        <f t="shared" si="147"/>
        <v>56297.586955326988</v>
      </c>
      <c r="M385" s="44">
        <f t="shared" si="147"/>
        <v>37149.069817050025</v>
      </c>
      <c r="N385" s="44">
        <f t="shared" si="147"/>
        <v>629614.15158569638</v>
      </c>
      <c r="O385" s="44">
        <f t="shared" si="147"/>
        <v>771034.93424411817</v>
      </c>
      <c r="P385" s="45">
        <f t="shared" si="147"/>
        <v>5.1934134486752201</v>
      </c>
    </row>
    <row r="386" spans="2:16" x14ac:dyDescent="0.25">
      <c r="B386" s="23" t="s">
        <v>861</v>
      </c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46"/>
      <c r="N386" s="46"/>
      <c r="O386" s="46"/>
      <c r="P386" s="47"/>
    </row>
    <row r="387" spans="2:16" x14ac:dyDescent="0.25"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48"/>
      <c r="N387" s="48"/>
      <c r="O387" s="48"/>
      <c r="P387" s="49"/>
    </row>
    <row r="388" spans="2:16" x14ac:dyDescent="0.25">
      <c r="B388" s="27"/>
      <c r="C388" s="28" t="s">
        <v>862</v>
      </c>
      <c r="D388" s="29" t="s">
        <v>863</v>
      </c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</row>
    <row r="389" spans="2:16" x14ac:dyDescent="0.25">
      <c r="B389" s="38"/>
      <c r="C389" s="39" t="s">
        <v>864</v>
      </c>
      <c r="D389" s="40" t="s">
        <v>865</v>
      </c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2:16" x14ac:dyDescent="0.25">
      <c r="B390" s="38"/>
      <c r="C390" s="39" t="s">
        <v>866</v>
      </c>
      <c r="D390" s="41" t="s">
        <v>867</v>
      </c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</row>
    <row r="391" spans="2:16" ht="30" x14ac:dyDescent="0.25">
      <c r="B391" s="30">
        <v>235</v>
      </c>
      <c r="C391" s="31" t="s">
        <v>868</v>
      </c>
      <c r="D391" s="32" t="s">
        <v>869</v>
      </c>
      <c r="E391" s="32" t="s">
        <v>870</v>
      </c>
      <c r="F391" s="33">
        <v>0.2</v>
      </c>
      <c r="G391" s="34">
        <v>2</v>
      </c>
      <c r="H391" s="35">
        <f>F391 * G391 * 1214.12844</f>
        <v>485.65137600000003</v>
      </c>
      <c r="I391" s="35">
        <f>F391 * G391 * 561.602173</f>
        <v>224.6408692</v>
      </c>
      <c r="J391" s="35">
        <f>F391 * G391 * 0</f>
        <v>0</v>
      </c>
      <c r="K391" s="35">
        <f>F391 * G391 * 1155.850275</f>
        <v>462.34011000000004</v>
      </c>
      <c r="L391" s="35">
        <f>F391 * G391 * 307.815993</f>
        <v>123.1263972</v>
      </c>
      <c r="M391" s="35">
        <f>F391 * G391 * 242.825688</f>
        <v>97.130275200000014</v>
      </c>
      <c r="N391" s="36">
        <f>SUM(H391:M391)</f>
        <v>1392.8890276</v>
      </c>
      <c r="O391" s="71">
        <f t="shared" ref="O391:O392" si="148">N391*1.07*1.09*1.05</f>
        <v>1705.7527965343743</v>
      </c>
      <c r="P391" s="37">
        <f t="shared" ref="P391:P392" si="149">IF($P$9&gt;0,O391/$P$9/12,0)</f>
        <v>1.1489336112016206E-2</v>
      </c>
    </row>
    <row r="392" spans="2:16" ht="30" x14ac:dyDescent="0.25">
      <c r="B392" s="30">
        <v>236</v>
      </c>
      <c r="C392" s="31" t="s">
        <v>871</v>
      </c>
      <c r="D392" s="32" t="s">
        <v>872</v>
      </c>
      <c r="E392" s="32" t="s">
        <v>870</v>
      </c>
      <c r="F392" s="33">
        <v>8.8999999999999996E-2</v>
      </c>
      <c r="G392" s="34">
        <v>2</v>
      </c>
      <c r="H392" s="35">
        <f>F392 * G392 * 2131.469928</f>
        <v>379.40164718399996</v>
      </c>
      <c r="I392" s="35">
        <f>F392 * G392 * 867.523099</f>
        <v>154.419111622</v>
      </c>
      <c r="J392" s="35">
        <f>F392 * G392 * 0</f>
        <v>0</v>
      </c>
      <c r="K392" s="35">
        <f>F392 * G392 * 2029.159371</f>
        <v>361.19036803799997</v>
      </c>
      <c r="L392" s="35">
        <f>F392 * G392 * 527.956002</f>
        <v>93.976168356000002</v>
      </c>
      <c r="M392" s="35">
        <f>F392 * G392 * 426.293986</f>
        <v>75.880329508000003</v>
      </c>
      <c r="N392" s="36">
        <f>SUM(H392:M392)</f>
        <v>1064.867624708</v>
      </c>
      <c r="O392" s="71">
        <f t="shared" si="148"/>
        <v>1304.0528662317877</v>
      </c>
      <c r="P392" s="37">
        <f t="shared" si="149"/>
        <v>8.7836301475899044E-3</v>
      </c>
    </row>
    <row r="393" spans="2:16" x14ac:dyDescent="0.25">
      <c r="B393" s="38"/>
      <c r="C393" s="39" t="s">
        <v>873</v>
      </c>
      <c r="D393" s="41" t="s">
        <v>874</v>
      </c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</row>
    <row r="394" spans="2:16" ht="30" x14ac:dyDescent="0.25">
      <c r="B394" s="30">
        <v>237</v>
      </c>
      <c r="C394" s="31" t="s">
        <v>875</v>
      </c>
      <c r="D394" s="32" t="s">
        <v>876</v>
      </c>
      <c r="E394" s="32" t="s">
        <v>877</v>
      </c>
      <c r="F394" s="33">
        <v>4</v>
      </c>
      <c r="G394" s="34">
        <v>1</v>
      </c>
      <c r="H394" s="35">
        <f>F394 * G394 * 96.988463</f>
        <v>387.95385199999998</v>
      </c>
      <c r="I394" s="35">
        <f>F394 * G394 * 241.22913</f>
        <v>964.91651999999999</v>
      </c>
      <c r="J394" s="35">
        <f>F394 * G394 * 0</f>
        <v>0</v>
      </c>
      <c r="K394" s="35">
        <f>F394 * G394 * 92.333017</f>
        <v>369.33206799999999</v>
      </c>
      <c r="L394" s="35">
        <f>F394 * G394 * 45.207814</f>
        <v>180.831256</v>
      </c>
      <c r="M394" s="35">
        <f>F394 * G394 * 19.397693</f>
        <v>77.590772000000001</v>
      </c>
      <c r="N394" s="36">
        <f>SUM(H394:M394)</f>
        <v>1980.6244679999998</v>
      </c>
      <c r="O394" s="71">
        <f t="shared" ref="O394:O397" si="150">N394*1.07*1.09*1.05</f>
        <v>2425.5024328798199</v>
      </c>
      <c r="P394" s="37">
        <f t="shared" ref="P394:P397" si="151">IF($P$9&gt;0,O394/$P$9/12,0)</f>
        <v>1.6337310276429439E-2</v>
      </c>
    </row>
    <row r="395" spans="2:16" ht="30" x14ac:dyDescent="0.25">
      <c r="B395" s="30">
        <v>238</v>
      </c>
      <c r="C395" s="31" t="s">
        <v>878</v>
      </c>
      <c r="D395" s="32" t="s">
        <v>879</v>
      </c>
      <c r="E395" s="32" t="s">
        <v>877</v>
      </c>
      <c r="F395" s="33">
        <v>6</v>
      </c>
      <c r="G395" s="34">
        <v>1</v>
      </c>
      <c r="H395" s="35">
        <f>F395 * G395 * 111.628231</f>
        <v>669.76938599999994</v>
      </c>
      <c r="I395" s="35">
        <f>F395 * G395 * 241.22913</f>
        <v>1447.3747800000001</v>
      </c>
      <c r="J395" s="35">
        <f>F395 * G395 * 0</f>
        <v>0</v>
      </c>
      <c r="K395" s="35">
        <f>F395 * G395 * 106.270076</f>
        <v>637.62045599999999</v>
      </c>
      <c r="L395" s="35">
        <f>F395 * G395 * 48.208381</f>
        <v>289.25028600000002</v>
      </c>
      <c r="M395" s="35">
        <f>F395 * G395 * 22.325646</f>
        <v>133.95387599999998</v>
      </c>
      <c r="N395" s="36">
        <f>SUM(H395:M395)</f>
        <v>3177.9687840000001</v>
      </c>
      <c r="O395" s="71">
        <f t="shared" si="150"/>
        <v>3891.7882424181607</v>
      </c>
      <c r="P395" s="37">
        <f t="shared" si="151"/>
        <v>2.6213683064030074E-2</v>
      </c>
    </row>
    <row r="396" spans="2:16" ht="30" x14ac:dyDescent="0.25">
      <c r="B396" s="30">
        <v>239</v>
      </c>
      <c r="C396" s="31" t="s">
        <v>880</v>
      </c>
      <c r="D396" s="32" t="s">
        <v>881</v>
      </c>
      <c r="E396" s="32" t="s">
        <v>877</v>
      </c>
      <c r="F396" s="33">
        <v>2</v>
      </c>
      <c r="G396" s="34">
        <v>1</v>
      </c>
      <c r="H396" s="35">
        <f>F396 * G396 * 118.948115</f>
        <v>237.89623</v>
      </c>
      <c r="I396" s="35">
        <f>F396 * G396 * 241.22913</f>
        <v>482.45826</v>
      </c>
      <c r="J396" s="35">
        <f>F396 * G396 * 0</f>
        <v>0</v>
      </c>
      <c r="K396" s="35">
        <f>F396 * G396 * 113.238606</f>
        <v>226.47721200000001</v>
      </c>
      <c r="L396" s="35">
        <f>F396 * G396 * 49.708664</f>
        <v>99.417327999999998</v>
      </c>
      <c r="M396" s="35">
        <f>F396 * G396 * 23.789623</f>
        <v>47.579245999999998</v>
      </c>
      <c r="N396" s="36">
        <f>SUM(H396:M396)</f>
        <v>1093.828276</v>
      </c>
      <c r="O396" s="71">
        <f t="shared" si="150"/>
        <v>1339.5185142137404</v>
      </c>
      <c r="P396" s="37">
        <f t="shared" si="151"/>
        <v>9.0225139711562433E-3</v>
      </c>
    </row>
    <row r="397" spans="2:16" ht="30" x14ac:dyDescent="0.25">
      <c r="B397" s="30">
        <v>240</v>
      </c>
      <c r="C397" s="31" t="s">
        <v>882</v>
      </c>
      <c r="D397" s="32" t="s">
        <v>883</v>
      </c>
      <c r="E397" s="32" t="s">
        <v>877</v>
      </c>
      <c r="F397" s="33">
        <v>2</v>
      </c>
      <c r="G397" s="34">
        <v>1</v>
      </c>
      <c r="H397" s="35">
        <f>F397 * G397 * 140.907767</f>
        <v>281.81553400000001</v>
      </c>
      <c r="I397" s="35">
        <f>F397 * G397 * 241.22913</f>
        <v>482.45826</v>
      </c>
      <c r="J397" s="35">
        <f>F397 * G397 * 0</f>
        <v>0</v>
      </c>
      <c r="K397" s="35">
        <f>F397 * G397 * 134.144195</f>
        <v>268.28838999999999</v>
      </c>
      <c r="L397" s="35">
        <f>F397 * G397 * 54.209514</f>
        <v>108.419028</v>
      </c>
      <c r="M397" s="35">
        <f>F397 * G397 * 28.181553</f>
        <v>56.363106000000002</v>
      </c>
      <c r="N397" s="36">
        <f>SUM(H397:M397)</f>
        <v>1197.3443179999999</v>
      </c>
      <c r="O397" s="71">
        <f t="shared" si="150"/>
        <v>1466.2858119875702</v>
      </c>
      <c r="P397" s="37">
        <f t="shared" si="151"/>
        <v>9.8763728040977636E-3</v>
      </c>
    </row>
    <row r="398" spans="2:16" x14ac:dyDescent="0.25">
      <c r="B398" s="38"/>
      <c r="C398" s="39" t="s">
        <v>884</v>
      </c>
      <c r="D398" s="41" t="s">
        <v>885</v>
      </c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</row>
    <row r="399" spans="2:16" ht="30" x14ac:dyDescent="0.25">
      <c r="B399" s="30">
        <v>241</v>
      </c>
      <c r="C399" s="31" t="s">
        <v>886</v>
      </c>
      <c r="D399" s="32" t="s">
        <v>887</v>
      </c>
      <c r="E399" s="32" t="s">
        <v>888</v>
      </c>
      <c r="F399" s="33">
        <v>4</v>
      </c>
      <c r="G399" s="34">
        <v>1</v>
      </c>
      <c r="H399" s="35">
        <f>F399 * G399 * 161.909252</f>
        <v>647.63700800000004</v>
      </c>
      <c r="I399" s="35">
        <f>F399 * G399 * 506.34036</f>
        <v>2025.3614399999999</v>
      </c>
      <c r="J399" s="35">
        <f>F399 * G399 * 0</f>
        <v>0</v>
      </c>
      <c r="K399" s="35">
        <f>F399 * G399 * 154.137608</f>
        <v>616.550432</v>
      </c>
      <c r="L399" s="35">
        <f>F399 * G399 * 86.350658</f>
        <v>345.40263199999998</v>
      </c>
      <c r="M399" s="35">
        <f>F399 * G399 * 32.38185</f>
        <v>129.5274</v>
      </c>
      <c r="N399" s="36">
        <f>SUM(H399:M399)</f>
        <v>3764.4789119999996</v>
      </c>
      <c r="O399" s="71">
        <f>N399*1.07*1.09*1.05</f>
        <v>4610.0373428188805</v>
      </c>
      <c r="P399" s="37">
        <f t="shared" ref="P399" si="152">IF($P$9&gt;0,O399/$P$9/12,0)</f>
        <v>3.1051550159088268E-2</v>
      </c>
    </row>
    <row r="400" spans="2:16" x14ac:dyDescent="0.25">
      <c r="B400" s="38"/>
      <c r="C400" s="39" t="s">
        <v>889</v>
      </c>
      <c r="D400" s="41" t="s">
        <v>890</v>
      </c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</row>
    <row r="401" spans="2:16" ht="30" x14ac:dyDescent="0.25">
      <c r="B401" s="30">
        <v>242</v>
      </c>
      <c r="C401" s="31" t="s">
        <v>891</v>
      </c>
      <c r="D401" s="32" t="s">
        <v>892</v>
      </c>
      <c r="E401" s="32" t="s">
        <v>893</v>
      </c>
      <c r="F401" s="33">
        <v>2</v>
      </c>
      <c r="G401" s="34">
        <v>0.5</v>
      </c>
      <c r="H401" s="35">
        <f>F401 * G401 * 323.818504</f>
        <v>323.81850400000002</v>
      </c>
      <c r="I401" s="35">
        <f>F401 * G401 * 167.480541</f>
        <v>167.48054099999999</v>
      </c>
      <c r="J401" s="35">
        <f>F401 * G401 * 0</f>
        <v>0</v>
      </c>
      <c r="K401" s="35">
        <f>F401 * G401 * 308.275216</f>
        <v>308.275216</v>
      </c>
      <c r="L401" s="35">
        <f>F401 * G401 * 83.955297</f>
        <v>83.955297000000002</v>
      </c>
      <c r="M401" s="35">
        <f>F401 * G401 * 64.763701</f>
        <v>64.763700999999998</v>
      </c>
      <c r="N401" s="36">
        <f>SUM(H401:M401)</f>
        <v>948.29325899999992</v>
      </c>
      <c r="O401" s="71">
        <f t="shared" ref="O401:O405" si="153">N401*1.07*1.09*1.05</f>
        <v>1161.2941493702849</v>
      </c>
      <c r="P401" s="37">
        <f t="shared" ref="P401:P405" si="154">IF($P$9&gt;0,O401/$P$9/12,0)</f>
        <v>7.8220588787199924E-3</v>
      </c>
    </row>
    <row r="402" spans="2:16" ht="30" x14ac:dyDescent="0.25">
      <c r="B402" s="30">
        <v>243</v>
      </c>
      <c r="C402" s="31" t="s">
        <v>894</v>
      </c>
      <c r="D402" s="32" t="s">
        <v>895</v>
      </c>
      <c r="E402" s="32" t="s">
        <v>893</v>
      </c>
      <c r="F402" s="33">
        <v>2</v>
      </c>
      <c r="G402" s="34">
        <v>0.5</v>
      </c>
      <c r="H402" s="35">
        <f>F402 * G402 * 385.389628</f>
        <v>385.38962800000002</v>
      </c>
      <c r="I402" s="35">
        <f>F402 * G402 * 281.362566</f>
        <v>281.36256600000002</v>
      </c>
      <c r="J402" s="35">
        <f>F402 * G402 * 0</f>
        <v>0</v>
      </c>
      <c r="K402" s="35">
        <f>F402 * G402 * 366.890926</f>
        <v>366.89092599999998</v>
      </c>
      <c r="L402" s="35">
        <f>F402 * G402 * 108.532528</f>
        <v>108.532528</v>
      </c>
      <c r="M402" s="35">
        <f>F402 * G402 * 77.077926</f>
        <v>77.077926000000005</v>
      </c>
      <c r="N402" s="36">
        <f>SUM(H402:M402)</f>
        <v>1219.2535739999998</v>
      </c>
      <c r="O402" s="71">
        <f t="shared" si="153"/>
        <v>1493.1162155240099</v>
      </c>
      <c r="P402" s="37">
        <f t="shared" si="154"/>
        <v>1.005709273308014E-2</v>
      </c>
    </row>
    <row r="403" spans="2:16" ht="30" x14ac:dyDescent="0.25">
      <c r="B403" s="30">
        <v>244</v>
      </c>
      <c r="C403" s="31" t="s">
        <v>896</v>
      </c>
      <c r="D403" s="32" t="s">
        <v>897</v>
      </c>
      <c r="E403" s="32" t="s">
        <v>893</v>
      </c>
      <c r="F403" s="33">
        <v>2</v>
      </c>
      <c r="G403" s="34">
        <v>0.5</v>
      </c>
      <c r="H403" s="35">
        <f>F403 * G403 * 456.0824</f>
        <v>456.08240000000001</v>
      </c>
      <c r="I403" s="35">
        <f>F403 * G403 * 311.5504</f>
        <v>311.55040000000002</v>
      </c>
      <c r="J403" s="35">
        <f>F403 * G403 * 0</f>
        <v>0</v>
      </c>
      <c r="K403" s="35">
        <f>F403 * G403 * 434.190444999999</f>
        <v>434.19044499999899</v>
      </c>
      <c r="L403" s="35">
        <f>F403 * G403 * 126.19144</f>
        <v>126.19144</v>
      </c>
      <c r="M403" s="35">
        <f>F403 * G403 * 91.21648</f>
        <v>91.216480000000004</v>
      </c>
      <c r="N403" s="36">
        <f>SUM(H403:M403)</f>
        <v>1419.2311649999992</v>
      </c>
      <c r="O403" s="71">
        <f t="shared" si="153"/>
        <v>1738.0117731264743</v>
      </c>
      <c r="P403" s="37">
        <f t="shared" si="154"/>
        <v>1.1706620952732475E-2</v>
      </c>
    </row>
    <row r="404" spans="2:16" ht="30" x14ac:dyDescent="0.25">
      <c r="B404" s="30">
        <v>245</v>
      </c>
      <c r="C404" s="31" t="s">
        <v>898</v>
      </c>
      <c r="D404" s="32" t="s">
        <v>899</v>
      </c>
      <c r="E404" s="32" t="s">
        <v>893</v>
      </c>
      <c r="F404" s="33">
        <v>2</v>
      </c>
      <c r="G404" s="34">
        <v>0.5</v>
      </c>
      <c r="H404" s="35">
        <f>F404 * G404 * 545.018468</f>
        <v>545.01846799999998</v>
      </c>
      <c r="I404" s="35">
        <f>F404 * G404 * 371.516247</f>
        <v>371.51624700000002</v>
      </c>
      <c r="J404" s="35">
        <f>F404 * G404 * 0</f>
        <v>0</v>
      </c>
      <c r="K404" s="35">
        <f>F404 * G404 * 518.857581</f>
        <v>518.85758099999998</v>
      </c>
      <c r="L404" s="35">
        <f>F404 * G404 * 150.716191</f>
        <v>150.71619100000001</v>
      </c>
      <c r="M404" s="35">
        <f>F404 * G404 * 109.003694</f>
        <v>109.003694</v>
      </c>
      <c r="N404" s="36">
        <f>SUM(H404:M404)</f>
        <v>1695.112181</v>
      </c>
      <c r="O404" s="71">
        <f t="shared" si="153"/>
        <v>2075.8598035353152</v>
      </c>
      <c r="P404" s="37">
        <f t="shared" si="154"/>
        <v>1.3982243530656019E-2</v>
      </c>
    </row>
    <row r="405" spans="2:16" ht="30" x14ac:dyDescent="0.25">
      <c r="B405" s="30">
        <v>246</v>
      </c>
      <c r="C405" s="31" t="s">
        <v>900</v>
      </c>
      <c r="D405" s="32" t="s">
        <v>901</v>
      </c>
      <c r="E405" s="32" t="s">
        <v>902</v>
      </c>
      <c r="F405" s="33">
        <v>2</v>
      </c>
      <c r="G405" s="34">
        <v>4</v>
      </c>
      <c r="H405" s="35">
        <f>F405 * G405 * 169.592544</f>
        <v>1356.740352</v>
      </c>
      <c r="I405" s="35">
        <f>F405 * G405 * 0</f>
        <v>0</v>
      </c>
      <c r="J405" s="35">
        <f>F405 * G405 * 0</f>
        <v>0</v>
      </c>
      <c r="K405" s="35">
        <f>F405 * G405 * 161.452102</f>
        <v>1291.616816</v>
      </c>
      <c r="L405" s="35">
        <f>F405 * G405 * 34.759688</f>
        <v>278.07750399999998</v>
      </c>
      <c r="M405" s="35">
        <f>F405 * G405 * 33.918509</f>
        <v>271.348072</v>
      </c>
      <c r="N405" s="36">
        <f>SUM(H405:M405)</f>
        <v>3197.7827440000001</v>
      </c>
      <c r="O405" s="71">
        <f t="shared" si="153"/>
        <v>3916.0527150435614</v>
      </c>
      <c r="P405" s="37">
        <f t="shared" si="154"/>
        <v>2.6377119807115268E-2</v>
      </c>
    </row>
    <row r="406" spans="2:16" x14ac:dyDescent="0.25">
      <c r="B406" s="38"/>
      <c r="C406" s="39" t="s">
        <v>903</v>
      </c>
      <c r="D406" s="40" t="s">
        <v>904</v>
      </c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2:16" x14ac:dyDescent="0.25">
      <c r="B407" s="30">
        <v>247</v>
      </c>
      <c r="C407" s="31" t="s">
        <v>905</v>
      </c>
      <c r="D407" s="32" t="s">
        <v>906</v>
      </c>
      <c r="E407" s="32" t="s">
        <v>907</v>
      </c>
      <c r="F407" s="33">
        <v>1</v>
      </c>
      <c r="G407" s="34">
        <v>4</v>
      </c>
      <c r="H407" s="35">
        <f>F407 * G407 * 9.121648</f>
        <v>36.486592000000002</v>
      </c>
      <c r="I407" s="35">
        <f>F407 * G407 * 0</f>
        <v>0</v>
      </c>
      <c r="J407" s="35">
        <f>F407 * G407 * 0</f>
        <v>0</v>
      </c>
      <c r="K407" s="35">
        <f>F407 * G407 * 8.683809</f>
        <v>34.735236</v>
      </c>
      <c r="L407" s="35">
        <f>F407 * G407 * 1.869573</f>
        <v>7.4782919999999997</v>
      </c>
      <c r="M407" s="35">
        <f>F407 * G407 * 1.82433</f>
        <v>7.29732</v>
      </c>
      <c r="N407" s="36">
        <f>SUM(H407:M407)</f>
        <v>85.997439999999997</v>
      </c>
      <c r="O407" s="71">
        <f t="shared" ref="O407:O410" si="155">N407*1.07*1.09*1.05</f>
        <v>105.31375498560003</v>
      </c>
      <c r="P407" s="37">
        <f t="shared" ref="P407:P410" si="156">IF($P$9&gt;0,O407/$P$9/12,0)</f>
        <v>7.0935550022631778E-4</v>
      </c>
    </row>
    <row r="408" spans="2:16" ht="30" x14ac:dyDescent="0.25">
      <c r="B408" s="30">
        <v>248</v>
      </c>
      <c r="C408" s="31" t="s">
        <v>908</v>
      </c>
      <c r="D408" s="32" t="s">
        <v>909</v>
      </c>
      <c r="E408" s="32" t="s">
        <v>877</v>
      </c>
      <c r="F408" s="33">
        <v>3</v>
      </c>
      <c r="G408" s="34">
        <v>1</v>
      </c>
      <c r="H408" s="35">
        <f>F408 * G408 * 12.809797</f>
        <v>38.429390999999995</v>
      </c>
      <c r="I408" s="35">
        <f>F408 * G408 * 0</f>
        <v>0</v>
      </c>
      <c r="J408" s="35">
        <f>F408 * G408 * 0</f>
        <v>0</v>
      </c>
      <c r="K408" s="35">
        <f>F408 * G408 * 12.194927</f>
        <v>36.584781</v>
      </c>
      <c r="L408" s="35">
        <f>F408 * G408 * 2.62549599999999</f>
        <v>7.87648799999997</v>
      </c>
      <c r="M408" s="35">
        <f>F408 * G408 * 2.561959</f>
        <v>7.6858769999999996</v>
      </c>
      <c r="N408" s="36">
        <f>SUM(H408:M408)</f>
        <v>90.576536999999973</v>
      </c>
      <c r="O408" s="71">
        <f t="shared" si="155"/>
        <v>110.92138585825499</v>
      </c>
      <c r="P408" s="37">
        <f t="shared" si="156"/>
        <v>7.4712648088597229E-4</v>
      </c>
    </row>
    <row r="409" spans="2:16" x14ac:dyDescent="0.25">
      <c r="B409" s="30">
        <v>249</v>
      </c>
      <c r="C409" s="31" t="s">
        <v>910</v>
      </c>
      <c r="D409" s="32" t="s">
        <v>911</v>
      </c>
      <c r="E409" s="32" t="s">
        <v>888</v>
      </c>
      <c r="F409" s="33">
        <v>6</v>
      </c>
      <c r="G409" s="34">
        <v>1</v>
      </c>
      <c r="H409" s="35">
        <f>F409 * G409 * 51.239188</f>
        <v>307.43512799999996</v>
      </c>
      <c r="I409" s="35">
        <f>F409 * G409 * 0</f>
        <v>0</v>
      </c>
      <c r="J409" s="35">
        <f>F409 * G409 * 0</f>
        <v>0</v>
      </c>
      <c r="K409" s="35">
        <f>F409 * G409 * 48.779707</f>
        <v>292.67824200000001</v>
      </c>
      <c r="L409" s="35">
        <f>F409 * G409 * 10.501983</f>
        <v>63.011897999999995</v>
      </c>
      <c r="M409" s="35">
        <f>F409 * G409 * 10.247838</f>
        <v>61.487027999999995</v>
      </c>
      <c r="N409" s="36">
        <f>SUM(H409:M409)</f>
        <v>724.61229600000001</v>
      </c>
      <c r="O409" s="71">
        <f t="shared" si="155"/>
        <v>887.37108686604017</v>
      </c>
      <c r="P409" s="37">
        <f t="shared" si="156"/>
        <v>5.9770118470877801E-3</v>
      </c>
    </row>
    <row r="410" spans="2:16" ht="45" x14ac:dyDescent="0.25">
      <c r="B410" s="30">
        <v>250</v>
      </c>
      <c r="C410" s="31" t="s">
        <v>912</v>
      </c>
      <c r="D410" s="32" t="s">
        <v>913</v>
      </c>
      <c r="E410" s="32" t="s">
        <v>914</v>
      </c>
      <c r="F410" s="33">
        <v>214</v>
      </c>
      <c r="G410" s="34">
        <v>1</v>
      </c>
      <c r="H410" s="35">
        <f>F410 * G410 * 3.659942</f>
        <v>783.22758799999997</v>
      </c>
      <c r="I410" s="35">
        <f>F410 * G410 * 0</f>
        <v>0</v>
      </c>
      <c r="J410" s="35">
        <f>F410 * G410 * 0</f>
        <v>0</v>
      </c>
      <c r="K410" s="35">
        <f>F410 * G410 * 3.484264</f>
        <v>745.63249600000006</v>
      </c>
      <c r="L410" s="35">
        <f>F410 * G410 * 0.750142</f>
        <v>160.53038799999999</v>
      </c>
      <c r="M410" s="35">
        <f>F410 * G410 * 0.731988</f>
        <v>156.645432</v>
      </c>
      <c r="N410" s="36">
        <f>SUM(H410:M410)</f>
        <v>1846.0359039999998</v>
      </c>
      <c r="O410" s="71">
        <f t="shared" si="155"/>
        <v>2260.6832585769603</v>
      </c>
      <c r="P410" s="37">
        <f t="shared" si="156"/>
        <v>1.5227147716462983E-2</v>
      </c>
    </row>
    <row r="411" spans="2:16" x14ac:dyDescent="0.25">
      <c r="B411" s="38"/>
      <c r="C411" s="39" t="s">
        <v>915</v>
      </c>
      <c r="D411" s="41" t="s">
        <v>916</v>
      </c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</row>
    <row r="412" spans="2:16" ht="45" x14ac:dyDescent="0.25">
      <c r="B412" s="30">
        <v>251</v>
      </c>
      <c r="C412" s="31" t="s">
        <v>917</v>
      </c>
      <c r="D412" s="32" t="s">
        <v>918</v>
      </c>
      <c r="E412" s="32" t="s">
        <v>919</v>
      </c>
      <c r="F412" s="33">
        <v>1</v>
      </c>
      <c r="G412" s="34">
        <v>1</v>
      </c>
      <c r="H412" s="35">
        <f>F412 * G412 * 188.76312</f>
        <v>188.76311999999999</v>
      </c>
      <c r="I412" s="35">
        <f t="shared" ref="I412:I418" si="157">F412 * G412 * 0</f>
        <v>0</v>
      </c>
      <c r="J412" s="35">
        <f t="shared" ref="J412:J418" si="158">F412 * G412 * 0</f>
        <v>0</v>
      </c>
      <c r="K412" s="35">
        <f>F412 * G412 * 179.70249</f>
        <v>179.70249000000001</v>
      </c>
      <c r="L412" s="35">
        <f>F412 * G412 * 38.688889</f>
        <v>38.688889000000003</v>
      </c>
      <c r="M412" s="35">
        <f>F412 * G412 * 37.752624</f>
        <v>37.752623999999997</v>
      </c>
      <c r="N412" s="36">
        <f t="shared" ref="N412:N419" si="159">SUM(H412:M412)</f>
        <v>444.90712299999996</v>
      </c>
      <c r="O412" s="71">
        <f t="shared" ref="O412:O419" si="160">N412*1.07*1.09*1.05</f>
        <v>544.83993643264512</v>
      </c>
      <c r="P412" s="37">
        <f t="shared" ref="P412:P419" si="161">IF($P$9&gt;0,O412/$P$9/12,0)</f>
        <v>3.6698454603987843E-3</v>
      </c>
    </row>
    <row r="413" spans="2:16" ht="45" x14ac:dyDescent="0.25">
      <c r="B413" s="30">
        <v>252</v>
      </c>
      <c r="C413" s="31" t="s">
        <v>920</v>
      </c>
      <c r="D413" s="32" t="s">
        <v>921</v>
      </c>
      <c r="E413" s="32" t="s">
        <v>922</v>
      </c>
      <c r="F413" s="33">
        <v>1</v>
      </c>
      <c r="G413" s="34">
        <v>1</v>
      </c>
      <c r="H413" s="35">
        <f>F413 * G413 * 44.56907</f>
        <v>44.569070000000004</v>
      </c>
      <c r="I413" s="35">
        <f t="shared" si="157"/>
        <v>0</v>
      </c>
      <c r="J413" s="35">
        <f t="shared" si="158"/>
        <v>0</v>
      </c>
      <c r="K413" s="35">
        <f>F413 * G413 * 42.429755</f>
        <v>42.429755</v>
      </c>
      <c r="L413" s="35">
        <f>F413 * G413 * 9.134876</f>
        <v>9.1348760000000002</v>
      </c>
      <c r="M413" s="35">
        <f>F413 * G413 * 8.913814</f>
        <v>8.9138140000000003</v>
      </c>
      <c r="N413" s="36">
        <f t="shared" si="159"/>
        <v>105.04751500000002</v>
      </c>
      <c r="O413" s="71">
        <f t="shared" si="160"/>
        <v>128.64276258172504</v>
      </c>
      <c r="P413" s="37">
        <f t="shared" si="161"/>
        <v>8.6649128800062676E-4</v>
      </c>
    </row>
    <row r="414" spans="2:16" ht="45" x14ac:dyDescent="0.25">
      <c r="B414" s="30">
        <v>253</v>
      </c>
      <c r="C414" s="31" t="s">
        <v>923</v>
      </c>
      <c r="D414" s="32" t="s">
        <v>924</v>
      </c>
      <c r="E414" s="32" t="s">
        <v>922</v>
      </c>
      <c r="F414" s="33">
        <v>0.44</v>
      </c>
      <c r="G414" s="34">
        <v>1</v>
      </c>
      <c r="H414" s="35">
        <f>F414 * G414 * 57.67762</f>
        <v>25.378152799999999</v>
      </c>
      <c r="I414" s="35">
        <f t="shared" si="157"/>
        <v>0</v>
      </c>
      <c r="J414" s="35">
        <f t="shared" si="158"/>
        <v>0</v>
      </c>
      <c r="K414" s="35">
        <f>F414 * G414 * 54.909094</f>
        <v>24.160001360000003</v>
      </c>
      <c r="L414" s="35">
        <f>F414 * G414 * 11.821605</f>
        <v>5.2015061999999999</v>
      </c>
      <c r="M414" s="35">
        <f>F414 * G414 * 11.535524</f>
        <v>5.0756305600000005</v>
      </c>
      <c r="N414" s="36">
        <f t="shared" si="159"/>
        <v>59.815290920000002</v>
      </c>
      <c r="O414" s="71">
        <f t="shared" si="160"/>
        <v>73.250702489995817</v>
      </c>
      <c r="P414" s="37">
        <f t="shared" si="161"/>
        <v>4.9339033361620206E-4</v>
      </c>
    </row>
    <row r="415" spans="2:16" ht="45" x14ac:dyDescent="0.25">
      <c r="B415" s="30">
        <v>254</v>
      </c>
      <c r="C415" s="31" t="s">
        <v>925</v>
      </c>
      <c r="D415" s="32" t="s">
        <v>926</v>
      </c>
      <c r="E415" s="32" t="s">
        <v>922</v>
      </c>
      <c r="F415" s="33">
        <v>0.9</v>
      </c>
      <c r="G415" s="34">
        <v>1</v>
      </c>
      <c r="H415" s="35">
        <f>F415 * G415 * 91.75985</f>
        <v>82.583865000000003</v>
      </c>
      <c r="I415" s="35">
        <f t="shared" si="157"/>
        <v>0</v>
      </c>
      <c r="J415" s="35">
        <f t="shared" si="158"/>
        <v>0</v>
      </c>
      <c r="K415" s="35">
        <f>F415 * G415 * 87.355377</f>
        <v>78.61983930000001</v>
      </c>
      <c r="L415" s="35">
        <f>F415 * G415 * 18.8070989999999</f>
        <v>16.926389099999913</v>
      </c>
      <c r="M415" s="35">
        <f>F415 * G415 * 18.35197</f>
        <v>16.516773000000001</v>
      </c>
      <c r="N415" s="36">
        <f t="shared" si="159"/>
        <v>194.64686639999994</v>
      </c>
      <c r="O415" s="71">
        <f t="shared" si="160"/>
        <v>238.36747229643595</v>
      </c>
      <c r="P415" s="37">
        <f t="shared" si="161"/>
        <v>1.6055573896462168E-3</v>
      </c>
    </row>
    <row r="416" spans="2:16" ht="30" x14ac:dyDescent="0.25">
      <c r="B416" s="30">
        <v>255</v>
      </c>
      <c r="C416" s="31" t="s">
        <v>927</v>
      </c>
      <c r="D416" s="32" t="s">
        <v>928</v>
      </c>
      <c r="E416" s="32" t="s">
        <v>929</v>
      </c>
      <c r="F416" s="33">
        <v>83</v>
      </c>
      <c r="G416" s="34">
        <v>1</v>
      </c>
      <c r="H416" s="35">
        <f>F416 * G416 * 10.48684</f>
        <v>870.40772000000004</v>
      </c>
      <c r="I416" s="35">
        <f t="shared" si="157"/>
        <v>0</v>
      </c>
      <c r="J416" s="35">
        <f t="shared" si="158"/>
        <v>0</v>
      </c>
      <c r="K416" s="35">
        <f>F416 * G416 * 9.98347199999999</f>
        <v>828.62817599999914</v>
      </c>
      <c r="L416" s="35">
        <f>F416 * G416 * 2.149383</f>
        <v>178.39878899999999</v>
      </c>
      <c r="M416" s="35">
        <f>F416 * G416 * 2.097368</f>
        <v>174.08154399999998</v>
      </c>
      <c r="N416" s="36">
        <f t="shared" si="159"/>
        <v>2051.5162289999994</v>
      </c>
      <c r="O416" s="71">
        <f t="shared" si="160"/>
        <v>2512.3175467768347</v>
      </c>
      <c r="P416" s="37">
        <f t="shared" si="161"/>
        <v>1.6922065596891061E-2</v>
      </c>
    </row>
    <row r="417" spans="2:16" ht="30" x14ac:dyDescent="0.25">
      <c r="B417" s="30">
        <v>256</v>
      </c>
      <c r="C417" s="31" t="s">
        <v>930</v>
      </c>
      <c r="D417" s="32" t="s">
        <v>931</v>
      </c>
      <c r="E417" s="32" t="s">
        <v>932</v>
      </c>
      <c r="F417" s="33">
        <v>0.4</v>
      </c>
      <c r="G417" s="34">
        <v>1</v>
      </c>
      <c r="H417" s="35">
        <f>F417 * G417 * 163.976805</f>
        <v>65.590722000000014</v>
      </c>
      <c r="I417" s="35">
        <f t="shared" si="157"/>
        <v>0</v>
      </c>
      <c r="J417" s="35">
        <f t="shared" si="158"/>
        <v>0</v>
      </c>
      <c r="K417" s="35">
        <f>F417 * G417 * 156.105918</f>
        <v>62.442367200000007</v>
      </c>
      <c r="L417" s="35">
        <f>F417 * G417 * 33.608686</f>
        <v>13.443474399999999</v>
      </c>
      <c r="M417" s="35">
        <f>F417 * G417 * 32.795361</f>
        <v>13.1181444</v>
      </c>
      <c r="N417" s="36">
        <f t="shared" si="159"/>
        <v>154.59470800000003</v>
      </c>
      <c r="O417" s="71">
        <f t="shared" si="160"/>
        <v>189.31899833742006</v>
      </c>
      <c r="P417" s="37">
        <f t="shared" si="161"/>
        <v>1.2751845453269483E-3</v>
      </c>
    </row>
    <row r="418" spans="2:16" ht="30" x14ac:dyDescent="0.25">
      <c r="B418" s="30">
        <v>257</v>
      </c>
      <c r="C418" s="31" t="s">
        <v>933</v>
      </c>
      <c r="D418" s="32" t="s">
        <v>934</v>
      </c>
      <c r="E418" s="32" t="s">
        <v>935</v>
      </c>
      <c r="F418" s="33">
        <v>13</v>
      </c>
      <c r="G418" s="34">
        <v>1</v>
      </c>
      <c r="H418" s="35">
        <f>F418 * G418 * 34.20618</f>
        <v>444.68034000000006</v>
      </c>
      <c r="I418" s="35">
        <f t="shared" si="157"/>
        <v>0</v>
      </c>
      <c r="J418" s="35">
        <f t="shared" si="158"/>
        <v>0</v>
      </c>
      <c r="K418" s="35">
        <f>F418 * G418 * 32.564283</f>
        <v>423.33567900000003</v>
      </c>
      <c r="L418" s="35">
        <f>F418 * G418 * 7.010898</f>
        <v>91.141673999999995</v>
      </c>
      <c r="M418" s="35">
        <f>F418 * G418 * 6.841236</f>
        <v>88.936068000000006</v>
      </c>
      <c r="N418" s="36">
        <f t="shared" si="159"/>
        <v>1048.0937610000001</v>
      </c>
      <c r="O418" s="71">
        <f t="shared" si="160"/>
        <v>1283.5113411270156</v>
      </c>
      <c r="P418" s="37">
        <f t="shared" si="161"/>
        <v>8.6452698373142012E-3</v>
      </c>
    </row>
    <row r="419" spans="2:16" ht="30" x14ac:dyDescent="0.25">
      <c r="B419" s="30">
        <v>258</v>
      </c>
      <c r="C419" s="31"/>
      <c r="D419" s="32" t="s">
        <v>936</v>
      </c>
      <c r="E419" s="32" t="s">
        <v>914</v>
      </c>
      <c r="F419" s="33">
        <v>214</v>
      </c>
      <c r="G419" s="34">
        <v>0.2</v>
      </c>
      <c r="H419" s="35">
        <f>250*F419*G419*1.2</f>
        <v>12840</v>
      </c>
      <c r="I419" s="35"/>
      <c r="J419" s="35"/>
      <c r="K419" s="35"/>
      <c r="L419" s="35"/>
      <c r="M419" s="35"/>
      <c r="N419" s="36">
        <f t="shared" si="159"/>
        <v>12840</v>
      </c>
      <c r="O419" s="71">
        <f t="shared" si="160"/>
        <v>15724.056600000004</v>
      </c>
      <c r="P419" s="37">
        <f t="shared" si="161"/>
        <v>0.10591157856450051</v>
      </c>
    </row>
    <row r="420" spans="2:16" ht="28.5" x14ac:dyDescent="0.25">
      <c r="B420" s="43" t="s">
        <v>372</v>
      </c>
      <c r="C420" s="43"/>
      <c r="D420" s="43"/>
      <c r="E420" s="43"/>
      <c r="F420" s="43"/>
      <c r="G420" s="43"/>
      <c r="H420" s="44">
        <f t="shared" ref="H420:P420" si="162">SUM(H388:H419)</f>
        <v>21884.726073983999</v>
      </c>
      <c r="I420" s="44">
        <f t="shared" si="162"/>
        <v>6913.5389948219999</v>
      </c>
      <c r="J420" s="44">
        <f t="shared" si="162"/>
        <v>0</v>
      </c>
      <c r="K420" s="44">
        <f t="shared" si="162"/>
        <v>8610.5790828979989</v>
      </c>
      <c r="L420" s="44">
        <f t="shared" si="162"/>
        <v>2579.7287192560002</v>
      </c>
      <c r="M420" s="44">
        <f t="shared" si="162"/>
        <v>1808.9451326679998</v>
      </c>
      <c r="N420" s="44">
        <f t="shared" si="162"/>
        <v>41797.518003628</v>
      </c>
      <c r="O420" s="44">
        <f t="shared" si="162"/>
        <v>51185.867510012904</v>
      </c>
      <c r="P420" s="45">
        <f t="shared" si="162"/>
        <v>0.34476955699706935</v>
      </c>
    </row>
    <row r="421" spans="2:16" x14ac:dyDescent="0.25">
      <c r="B421" s="23" t="s">
        <v>937</v>
      </c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46"/>
      <c r="N421" s="46"/>
      <c r="O421" s="46"/>
      <c r="P421" s="47"/>
    </row>
    <row r="422" spans="2:16" x14ac:dyDescent="0.25"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48"/>
      <c r="N422" s="48"/>
      <c r="O422" s="48"/>
      <c r="P422" s="49"/>
    </row>
    <row r="423" spans="2:16" ht="28.5" x14ac:dyDescent="0.25">
      <c r="B423" s="27"/>
      <c r="C423" s="28" t="s">
        <v>314</v>
      </c>
      <c r="D423" s="29" t="s">
        <v>315</v>
      </c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</row>
    <row r="424" spans="2:16" x14ac:dyDescent="0.25">
      <c r="B424" s="30">
        <v>259</v>
      </c>
      <c r="C424" s="31" t="s">
        <v>938</v>
      </c>
      <c r="D424" s="32" t="s">
        <v>939</v>
      </c>
      <c r="E424" s="32" t="s">
        <v>335</v>
      </c>
      <c r="F424" s="33">
        <v>12.372</v>
      </c>
      <c r="G424" s="34">
        <v>1</v>
      </c>
      <c r="H424" s="35">
        <f>F424 * G424 * 4697.64872</f>
        <v>58119.309963840002</v>
      </c>
      <c r="I424" s="35">
        <f>F424 * G424 * 3321.266353</f>
        <v>41090.707319315996</v>
      </c>
      <c r="J424" s="35">
        <f>F424 * G424 * 0</f>
        <v>0</v>
      </c>
      <c r="K424" s="35">
        <f>F424 * G424 * 4472.161581</f>
        <v>55329.583080132004</v>
      </c>
      <c r="L424" s="35">
        <f>F424 * G424 * 1311.563048</f>
        <v>16226.658029856</v>
      </c>
      <c r="M424" s="35">
        <f>F424 * G424 * 939.529744</f>
        <v>11623.861992768001</v>
      </c>
      <c r="N424" s="36">
        <f>SUM(H424:M424)</f>
        <v>182390.12038591201</v>
      </c>
      <c r="O424" s="71">
        <f>N424*1.07*1.09*1.05</f>
        <v>223357.67727639369</v>
      </c>
      <c r="P424" s="37">
        <f t="shared" ref="P424" si="163">IF($P$9&gt;0,O424/$P$9/12,0)</f>
        <v>1.5044568196761079</v>
      </c>
    </row>
    <row r="425" spans="2:16" x14ac:dyDescent="0.25">
      <c r="B425" s="38"/>
      <c r="C425" s="39" t="s">
        <v>940</v>
      </c>
      <c r="D425" s="40" t="s">
        <v>941</v>
      </c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2:16" x14ac:dyDescent="0.25">
      <c r="B426" s="30">
        <v>260</v>
      </c>
      <c r="C426" s="31" t="s">
        <v>942</v>
      </c>
      <c r="D426" s="32" t="s">
        <v>943</v>
      </c>
      <c r="E426" s="32" t="s">
        <v>335</v>
      </c>
      <c r="F426" s="33">
        <v>12.372</v>
      </c>
      <c r="G426" s="34">
        <v>2</v>
      </c>
      <c r="H426" s="35">
        <f>F426 * G426 * 850.2501</f>
        <v>21038.5884744</v>
      </c>
      <c r="I426" s="35">
        <f>F426 * G426 * 0</f>
        <v>0</v>
      </c>
      <c r="J426" s="35">
        <f>F426 * G426 * 0</f>
        <v>0</v>
      </c>
      <c r="K426" s="35">
        <f>F426 * G426 * 809.438095</f>
        <v>20028.73622268</v>
      </c>
      <c r="L426" s="35">
        <f>F426 * G426 * 174.267261</f>
        <v>4312.0691061839998</v>
      </c>
      <c r="M426" s="35">
        <f>F426 * G426 * 170.05002</f>
        <v>4207.7176948799997</v>
      </c>
      <c r="N426" s="36">
        <f>SUM(H426:M426)</f>
        <v>49587.11149814399</v>
      </c>
      <c r="O426" s="71">
        <f t="shared" ref="O426:O427" si="164">N426*1.07*1.09*1.05</f>
        <v>60725.120547299623</v>
      </c>
      <c r="P426" s="37">
        <f t="shared" ref="P426:P427" si="165">IF($P$9&gt;0,O426/$P$9/12,0)</f>
        <v>0.40902252766529007</v>
      </c>
    </row>
    <row r="427" spans="2:16" ht="30" x14ac:dyDescent="0.25">
      <c r="B427" s="30">
        <v>261</v>
      </c>
      <c r="C427" s="31" t="s">
        <v>944</v>
      </c>
      <c r="D427" s="32" t="s">
        <v>945</v>
      </c>
      <c r="E427" s="32" t="s">
        <v>335</v>
      </c>
      <c r="F427" s="33">
        <v>12.372</v>
      </c>
      <c r="G427" s="34">
        <v>2</v>
      </c>
      <c r="H427" s="35">
        <f>F427 * G427 * 850.2501</f>
        <v>21038.5884744</v>
      </c>
      <c r="I427" s="35">
        <f>F427 * G427 * 0</f>
        <v>0</v>
      </c>
      <c r="J427" s="35">
        <f>F427 * G427 * 0</f>
        <v>0</v>
      </c>
      <c r="K427" s="35">
        <f>F427 * G427 * 809.438095</f>
        <v>20028.73622268</v>
      </c>
      <c r="L427" s="35">
        <f>F427 * G427 * 174.267261</f>
        <v>4312.0691061839998</v>
      </c>
      <c r="M427" s="35">
        <f>F427 * G427 * 170.05002</f>
        <v>4207.7176948799997</v>
      </c>
      <c r="N427" s="36">
        <f>SUM(H427:M427)</f>
        <v>49587.11149814399</v>
      </c>
      <c r="O427" s="71">
        <f t="shared" si="164"/>
        <v>60725.120547299623</v>
      </c>
      <c r="P427" s="37">
        <f t="shared" si="165"/>
        <v>0.40902252766529007</v>
      </c>
    </row>
    <row r="428" spans="2:16" ht="28.5" x14ac:dyDescent="0.25">
      <c r="B428" s="43" t="s">
        <v>372</v>
      </c>
      <c r="C428" s="43"/>
      <c r="D428" s="43"/>
      <c r="E428" s="43"/>
      <c r="F428" s="43"/>
      <c r="G428" s="43"/>
      <c r="H428" s="44">
        <f t="shared" ref="H428:P428" si="166">SUM(H423:H427)</f>
        <v>100196.48691263999</v>
      </c>
      <c r="I428" s="44">
        <f t="shared" si="166"/>
        <v>41090.707319315996</v>
      </c>
      <c r="J428" s="44">
        <f t="shared" si="166"/>
        <v>0</v>
      </c>
      <c r="K428" s="44">
        <f t="shared" si="166"/>
        <v>95387.055525492004</v>
      </c>
      <c r="L428" s="44">
        <f t="shared" si="166"/>
        <v>24850.796242224002</v>
      </c>
      <c r="M428" s="44">
        <f t="shared" si="166"/>
        <v>20039.297382528002</v>
      </c>
      <c r="N428" s="44">
        <f t="shared" si="166"/>
        <v>281564.34338219999</v>
      </c>
      <c r="O428" s="44">
        <f t="shared" si="166"/>
        <v>344807.91837099293</v>
      </c>
      <c r="P428" s="45">
        <f t="shared" si="166"/>
        <v>2.3225018750066879</v>
      </c>
    </row>
    <row r="429" spans="2:16" x14ac:dyDescent="0.25">
      <c r="B429" s="23" t="s">
        <v>946</v>
      </c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46"/>
      <c r="N429" s="46"/>
      <c r="O429" s="46"/>
      <c r="P429" s="47"/>
    </row>
    <row r="430" spans="2:16" x14ac:dyDescent="0.25"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48"/>
      <c r="N430" s="48"/>
      <c r="O430" s="48"/>
      <c r="P430" s="49"/>
    </row>
    <row r="431" spans="2:16" x14ac:dyDescent="0.25">
      <c r="B431" s="27"/>
      <c r="C431" s="28" t="s">
        <v>947</v>
      </c>
      <c r="D431" s="29" t="s">
        <v>948</v>
      </c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</row>
    <row r="432" spans="2:16" x14ac:dyDescent="0.25">
      <c r="B432" s="38"/>
      <c r="C432" s="39" t="s">
        <v>949</v>
      </c>
      <c r="D432" s="40" t="s">
        <v>950</v>
      </c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</row>
    <row r="433" spans="2:16" ht="28.5" x14ac:dyDescent="0.25">
      <c r="B433" s="38"/>
      <c r="C433" s="39" t="s">
        <v>951</v>
      </c>
      <c r="D433" s="41" t="s">
        <v>952</v>
      </c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</row>
    <row r="434" spans="2:16" ht="30" x14ac:dyDescent="0.25">
      <c r="B434" s="30">
        <v>262</v>
      </c>
      <c r="C434" s="31" t="s">
        <v>953</v>
      </c>
      <c r="D434" s="32" t="s">
        <v>954</v>
      </c>
      <c r="E434" s="32" t="s">
        <v>201</v>
      </c>
      <c r="F434" s="33">
        <v>6.36</v>
      </c>
      <c r="G434" s="34">
        <v>1</v>
      </c>
      <c r="H434" s="35">
        <f>F434 * G434 * 3246.368554</f>
        <v>20646.904003440002</v>
      </c>
      <c r="I434" s="35">
        <f>F434 * G434 * 517.948021</f>
        <v>3294.1494135600005</v>
      </c>
      <c r="J434" s="35">
        <f>F434 * G434 * 0</f>
        <v>0</v>
      </c>
      <c r="K434" s="35">
        <f>F434 * G434 * 3090.542863</f>
        <v>19655.852608680001</v>
      </c>
      <c r="L434" s="35">
        <f>F434 * G434 * 719.760241</f>
        <v>4577.6751327599995</v>
      </c>
      <c r="M434" s="35">
        <f>F434 * G434 * 649.273711</f>
        <v>4129.3808019600001</v>
      </c>
      <c r="N434" s="36">
        <f>SUM(H434:M434)</f>
        <v>52303.961960400004</v>
      </c>
      <c r="O434" s="71">
        <f>N434*1.07*1.09*1.05</f>
        <v>64052.216376135264</v>
      </c>
      <c r="P434" s="37">
        <f t="shared" ref="P434" si="167">IF($P$9&gt;0,O434/$P$9/12,0)</f>
        <v>0.43143264613734816</v>
      </c>
    </row>
    <row r="435" spans="2:16" x14ac:dyDescent="0.25">
      <c r="B435" s="38"/>
      <c r="C435" s="39" t="s">
        <v>955</v>
      </c>
      <c r="D435" s="40" t="s">
        <v>956</v>
      </c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</row>
    <row r="436" spans="2:16" ht="28.5" x14ac:dyDescent="0.25">
      <c r="B436" s="38"/>
      <c r="C436" s="39" t="s">
        <v>957</v>
      </c>
      <c r="D436" s="41" t="s">
        <v>958</v>
      </c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</row>
    <row r="437" spans="2:16" ht="30" x14ac:dyDescent="0.25">
      <c r="B437" s="30">
        <v>263</v>
      </c>
      <c r="C437" s="31" t="s">
        <v>959</v>
      </c>
      <c r="D437" s="32" t="s">
        <v>960</v>
      </c>
      <c r="E437" s="32" t="s">
        <v>961</v>
      </c>
      <c r="F437" s="33">
        <v>0.03</v>
      </c>
      <c r="G437" s="34">
        <v>1</v>
      </c>
      <c r="H437" s="35">
        <f>F437 * G437 * 123108.11686</f>
        <v>3693.2435057999996</v>
      </c>
      <c r="I437" s="35">
        <f>F437 * G437 * 64495.72134</f>
        <v>1934.8716401999998</v>
      </c>
      <c r="J437" s="35">
        <f>F437 * G437 * 717.56692</f>
        <v>21.527007599999997</v>
      </c>
      <c r="K437" s="35">
        <f>F437 * G437 * 117798.394095</f>
        <v>3533.9518228499996</v>
      </c>
      <c r="L437" s="35">
        <f>F437 * G437 * 32142.578917</f>
        <v>964.27736750999998</v>
      </c>
      <c r="M437" s="35">
        <f>F437 * G437 * 24747.561785</f>
        <v>742.42685355000003</v>
      </c>
      <c r="N437" s="36">
        <f>SUM(H437:M437)</f>
        <v>10890.298197509997</v>
      </c>
      <c r="O437" s="71">
        <f>N437*1.07*1.09*1.05</f>
        <v>13336.422527143706</v>
      </c>
      <c r="P437" s="37">
        <f t="shared" ref="P437" si="168">IF($P$9&gt;0,O437/$P$9/12,0)</f>
        <v>8.9829335914051248E-2</v>
      </c>
    </row>
    <row r="438" spans="2:16" ht="28.5" x14ac:dyDescent="0.25">
      <c r="B438" s="27"/>
      <c r="C438" s="28" t="s">
        <v>314</v>
      </c>
      <c r="D438" s="29" t="s">
        <v>315</v>
      </c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</row>
    <row r="439" spans="2:16" x14ac:dyDescent="0.25">
      <c r="B439" s="38"/>
      <c r="C439" s="39" t="s">
        <v>940</v>
      </c>
      <c r="D439" s="40" t="s">
        <v>941</v>
      </c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</row>
    <row r="440" spans="2:16" x14ac:dyDescent="0.25">
      <c r="B440" s="30">
        <v>264</v>
      </c>
      <c r="C440" s="31" t="s">
        <v>942</v>
      </c>
      <c r="D440" s="32" t="s">
        <v>943</v>
      </c>
      <c r="E440" s="32" t="s">
        <v>335</v>
      </c>
      <c r="F440" s="33">
        <v>12.372</v>
      </c>
      <c r="G440" s="34">
        <v>2</v>
      </c>
      <c r="H440" s="35">
        <f>F440 * G440 * 850.2501</f>
        <v>21038.5884744</v>
      </c>
      <c r="I440" s="35">
        <f>F440 * G440 * 0</f>
        <v>0</v>
      </c>
      <c r="J440" s="35">
        <f>F440 * G440 * 0</f>
        <v>0</v>
      </c>
      <c r="K440" s="35">
        <f>F440 * G440 * 809.438095</f>
        <v>20028.73622268</v>
      </c>
      <c r="L440" s="35">
        <f>F440 * G440 * 174.267261</f>
        <v>4312.0691061839998</v>
      </c>
      <c r="M440" s="35">
        <f>F440 * G440 * 170.05002</f>
        <v>4207.7176948799997</v>
      </c>
      <c r="N440" s="36">
        <f>SUM(H440:M440)</f>
        <v>49587.11149814399</v>
      </c>
      <c r="O440" s="71">
        <f t="shared" ref="O440:O441" si="169">N440*1.07*1.09*1.05</f>
        <v>60725.120547299623</v>
      </c>
      <c r="P440" s="37">
        <f t="shared" ref="P440:P441" si="170">IF($P$9&gt;0,O440/$P$9/12,0)</f>
        <v>0.40902252766529007</v>
      </c>
    </row>
    <row r="441" spans="2:16" ht="30" x14ac:dyDescent="0.25">
      <c r="B441" s="30">
        <v>265</v>
      </c>
      <c r="C441" s="31" t="s">
        <v>944</v>
      </c>
      <c r="D441" s="32" t="s">
        <v>945</v>
      </c>
      <c r="E441" s="32" t="s">
        <v>335</v>
      </c>
      <c r="F441" s="33">
        <v>12.372</v>
      </c>
      <c r="G441" s="34">
        <v>4</v>
      </c>
      <c r="H441" s="35">
        <f>F441 * G441 * 850.2501</f>
        <v>42077.176948799999</v>
      </c>
      <c r="I441" s="35">
        <f>F441 * G441 * 0</f>
        <v>0</v>
      </c>
      <c r="J441" s="35">
        <f>F441 * G441 * 0</f>
        <v>0</v>
      </c>
      <c r="K441" s="35">
        <f>F441 * G441 * 809.438095</f>
        <v>40057.472445359999</v>
      </c>
      <c r="L441" s="35">
        <f>F441 * G441 * 174.267261</f>
        <v>8624.1382123679996</v>
      </c>
      <c r="M441" s="35">
        <f>F441 * G441 * 170.05002</f>
        <v>8415.4353897599995</v>
      </c>
      <c r="N441" s="36">
        <f>SUM(H441:M441)</f>
        <v>99174.222996287979</v>
      </c>
      <c r="O441" s="71">
        <f t="shared" si="169"/>
        <v>121450.24109459925</v>
      </c>
      <c r="P441" s="37">
        <f t="shared" si="170"/>
        <v>0.81804505533058014</v>
      </c>
    </row>
    <row r="442" spans="2:16" ht="28.5" x14ac:dyDescent="0.25">
      <c r="B442" s="43" t="s">
        <v>372</v>
      </c>
      <c r="C442" s="43"/>
      <c r="D442" s="43"/>
      <c r="E442" s="43"/>
      <c r="F442" s="43"/>
      <c r="G442" s="43"/>
      <c r="H442" s="44">
        <f t="shared" ref="H442:P442" si="171">SUM(H431:H441)</f>
        <v>87455.912932439998</v>
      </c>
      <c r="I442" s="44">
        <f t="shared" si="171"/>
        <v>5229.0210537600005</v>
      </c>
      <c r="J442" s="44">
        <f t="shared" si="171"/>
        <v>21.527007599999997</v>
      </c>
      <c r="K442" s="44">
        <f t="shared" si="171"/>
        <v>83276.013099570002</v>
      </c>
      <c r="L442" s="44">
        <f t="shared" si="171"/>
        <v>18478.159818822001</v>
      </c>
      <c r="M442" s="44">
        <f t="shared" si="171"/>
        <v>17494.960740149996</v>
      </c>
      <c r="N442" s="44">
        <f t="shared" si="171"/>
        <v>211955.59465234197</v>
      </c>
      <c r="O442" s="44">
        <f t="shared" si="171"/>
        <v>259564.00054517784</v>
      </c>
      <c r="P442" s="45">
        <f t="shared" si="171"/>
        <v>1.7483295650472694</v>
      </c>
    </row>
    <row r="443" spans="2:16" x14ac:dyDescent="0.25">
      <c r="B443" s="23" t="s">
        <v>962</v>
      </c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46"/>
      <c r="N443" s="46"/>
      <c r="O443" s="46"/>
      <c r="P443" s="47"/>
    </row>
    <row r="444" spans="2:16" x14ac:dyDescent="0.25"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48"/>
      <c r="N444" s="48"/>
      <c r="O444" s="48"/>
      <c r="P444" s="49"/>
    </row>
    <row r="445" spans="2:16" ht="28.5" x14ac:dyDescent="0.25">
      <c r="B445" s="27"/>
      <c r="C445" s="28" t="s">
        <v>963</v>
      </c>
      <c r="D445" s="29" t="s">
        <v>964</v>
      </c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</row>
    <row r="446" spans="2:16" x14ac:dyDescent="0.25">
      <c r="B446" s="38"/>
      <c r="C446" s="39" t="s">
        <v>965</v>
      </c>
      <c r="D446" s="40" t="s">
        <v>966</v>
      </c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</row>
    <row r="447" spans="2:16" x14ac:dyDescent="0.25">
      <c r="B447" s="38"/>
      <c r="C447" s="39" t="s">
        <v>967</v>
      </c>
      <c r="D447" s="41" t="s">
        <v>968</v>
      </c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</row>
    <row r="448" spans="2:16" ht="30" x14ac:dyDescent="0.25">
      <c r="B448" s="30">
        <v>266</v>
      </c>
      <c r="C448" s="31" t="s">
        <v>969</v>
      </c>
      <c r="D448" s="32" t="s">
        <v>970</v>
      </c>
      <c r="E448" s="32" t="s">
        <v>971</v>
      </c>
      <c r="F448" s="33">
        <v>5</v>
      </c>
      <c r="G448" s="34">
        <v>5</v>
      </c>
      <c r="H448" s="35">
        <f>F448 * G448 * 492.88148</f>
        <v>12322.037</v>
      </c>
      <c r="I448" s="35">
        <f>F448 * G448 * 0</f>
        <v>0</v>
      </c>
      <c r="J448" s="35">
        <f>F448 * G448 * 0</f>
        <v>0</v>
      </c>
      <c r="K448" s="35">
        <f>F448 * G448 * 469.223169</f>
        <v>11730.579224999999</v>
      </c>
      <c r="L448" s="35">
        <f>F448 * G448 * 101.020988</f>
        <v>2525.5246999999999</v>
      </c>
      <c r="M448" s="35">
        <f>F448 * G448 * 98.576296</f>
        <v>2464.4074000000001</v>
      </c>
      <c r="N448" s="36">
        <f>SUM(H448:M448)</f>
        <v>29042.548325</v>
      </c>
      <c r="O448" s="71">
        <f t="shared" ref="O448:O449" si="172">N448*1.07*1.09*1.05</f>
        <v>35565.940317019878</v>
      </c>
      <c r="P448" s="37">
        <f t="shared" ref="P448:P449" si="173">IF($P$9&gt;0,O448/$P$9/12,0)</f>
        <v>0.23955935659163083</v>
      </c>
    </row>
    <row r="449" spans="2:16" x14ac:dyDescent="0.25">
      <c r="B449" s="30">
        <v>267</v>
      </c>
      <c r="C449" s="31" t="s">
        <v>972</v>
      </c>
      <c r="D449" s="32" t="s">
        <v>973</v>
      </c>
      <c r="E449" s="32" t="s">
        <v>974</v>
      </c>
      <c r="F449" s="33">
        <v>12.372</v>
      </c>
      <c r="G449" s="34">
        <v>6</v>
      </c>
      <c r="H449" s="35">
        <f>F449 * G449 * 101.22025</f>
        <v>7513.7815979999996</v>
      </c>
      <c r="I449" s="35">
        <f>F449 * G449 * 0</f>
        <v>0</v>
      </c>
      <c r="J449" s="35">
        <f>F449 * G449 * 0</f>
        <v>0</v>
      </c>
      <c r="K449" s="35">
        <f>F449 * G449 * 96.361677</f>
        <v>7153.1200070639998</v>
      </c>
      <c r="L449" s="35">
        <f>F449 * G449 * 20.7461029999999</f>
        <v>1540.0247178959924</v>
      </c>
      <c r="M449" s="35">
        <f>F449 * G449 * 20.24405</f>
        <v>1502.7563196000001</v>
      </c>
      <c r="N449" s="36">
        <f>SUM(H449:M449)</f>
        <v>17709.68264255999</v>
      </c>
      <c r="O449" s="71">
        <f t="shared" si="172"/>
        <v>21687.543009318604</v>
      </c>
      <c r="P449" s="37">
        <f t="shared" si="173"/>
        <v>0.14607947387459994</v>
      </c>
    </row>
    <row r="450" spans="2:16" x14ac:dyDescent="0.25">
      <c r="B450" s="38"/>
      <c r="C450" s="39" t="s">
        <v>975</v>
      </c>
      <c r="D450" s="40" t="s">
        <v>976</v>
      </c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</row>
    <row r="451" spans="2:16" x14ac:dyDescent="0.25">
      <c r="B451" s="30">
        <v>268</v>
      </c>
      <c r="C451" s="31" t="s">
        <v>977</v>
      </c>
      <c r="D451" s="32" t="s">
        <v>978</v>
      </c>
      <c r="E451" s="32" t="s">
        <v>971</v>
      </c>
      <c r="F451" s="33">
        <v>5</v>
      </c>
      <c r="G451" s="34">
        <v>6</v>
      </c>
      <c r="H451" s="35">
        <f>F451 * G451 * 334.026825</f>
        <v>10020.804749999999</v>
      </c>
      <c r="I451" s="35">
        <f>F451 * G451 * 87.928396</f>
        <v>2637.8518800000002</v>
      </c>
      <c r="J451" s="35">
        <f>F451 * G451 * 0</f>
        <v>0</v>
      </c>
      <c r="K451" s="35">
        <f>F451 * G451 * 317.993537</f>
        <v>9539.8061099999995</v>
      </c>
      <c r="L451" s="35">
        <f>F451 * G451 * 77.69462</f>
        <v>2330.8386</v>
      </c>
      <c r="M451" s="35">
        <f>F451 * G451 * 66.805365</f>
        <v>2004.16095</v>
      </c>
      <c r="N451" s="36">
        <f>SUM(H451:M451)</f>
        <v>26533.462289999999</v>
      </c>
      <c r="O451" s="71">
        <f>N451*1.07*1.09*1.05</f>
        <v>32493.275922268356</v>
      </c>
      <c r="P451" s="37">
        <f t="shared" ref="P451" si="174">IF($P$9&gt;0,O451/$P$9/12,0)</f>
        <v>0.21886299656663133</v>
      </c>
    </row>
    <row r="452" spans="2:16" ht="28.5" x14ac:dyDescent="0.25">
      <c r="B452" s="43" t="s">
        <v>372</v>
      </c>
      <c r="C452" s="43"/>
      <c r="D452" s="43"/>
      <c r="E452" s="43"/>
      <c r="F452" s="43"/>
      <c r="G452" s="43"/>
      <c r="H452" s="44">
        <f t="shared" ref="H452:P452" si="175">SUM(H445:H451)</f>
        <v>29856.623347999997</v>
      </c>
      <c r="I452" s="44">
        <f t="shared" si="175"/>
        <v>2637.8518800000002</v>
      </c>
      <c r="J452" s="44">
        <f t="shared" si="175"/>
        <v>0</v>
      </c>
      <c r="K452" s="44">
        <f t="shared" si="175"/>
        <v>28423.505342063996</v>
      </c>
      <c r="L452" s="44">
        <f t="shared" si="175"/>
        <v>6396.3880178959926</v>
      </c>
      <c r="M452" s="44">
        <f t="shared" si="175"/>
        <v>5971.3246696000006</v>
      </c>
      <c r="N452" s="44">
        <f t="shared" si="175"/>
        <v>73285.693257559993</v>
      </c>
      <c r="O452" s="44">
        <f t="shared" si="175"/>
        <v>89746.759248606832</v>
      </c>
      <c r="P452" s="45">
        <f t="shared" si="175"/>
        <v>0.60450182703286215</v>
      </c>
    </row>
    <row r="453" spans="2:16" x14ac:dyDescent="0.25">
      <c r="B453" s="23" t="s">
        <v>979</v>
      </c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46"/>
      <c r="N453" s="46"/>
      <c r="O453" s="46"/>
      <c r="P453" s="47"/>
    </row>
    <row r="454" spans="2:16" x14ac:dyDescent="0.25"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48"/>
      <c r="N454" s="48"/>
      <c r="O454" s="48"/>
      <c r="P454" s="49"/>
    </row>
    <row r="455" spans="2:16" ht="42.75" x14ac:dyDescent="0.25">
      <c r="B455" s="27"/>
      <c r="C455" s="28" t="s">
        <v>980</v>
      </c>
      <c r="D455" s="29" t="s">
        <v>981</v>
      </c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</row>
    <row r="456" spans="2:16" x14ac:dyDescent="0.25">
      <c r="B456" s="38"/>
      <c r="C456" s="39" t="s">
        <v>982</v>
      </c>
      <c r="D456" s="40" t="s">
        <v>983</v>
      </c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</row>
    <row r="457" spans="2:16" x14ac:dyDescent="0.25">
      <c r="B457" s="38"/>
      <c r="C457" s="39" t="s">
        <v>984</v>
      </c>
      <c r="D457" s="50" t="s">
        <v>985</v>
      </c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</row>
    <row r="458" spans="2:16" ht="28.5" x14ac:dyDescent="0.25">
      <c r="B458" s="38"/>
      <c r="C458" s="39" t="s">
        <v>986</v>
      </c>
      <c r="D458" s="41" t="s">
        <v>987</v>
      </c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</row>
    <row r="459" spans="2:16" ht="45" x14ac:dyDescent="0.25">
      <c r="B459" s="30">
        <v>269</v>
      </c>
      <c r="C459" s="31" t="s">
        <v>988</v>
      </c>
      <c r="D459" s="32" t="s">
        <v>989</v>
      </c>
      <c r="E459" s="32" t="s">
        <v>990</v>
      </c>
      <c r="F459" s="51">
        <v>4.08</v>
      </c>
      <c r="G459" s="52">
        <v>144</v>
      </c>
      <c r="H459" s="53">
        <f>F459 * G459 * 216.485569</f>
        <v>127189.60149888</v>
      </c>
      <c r="I459" s="53">
        <f>F459 * G459 * 0</f>
        <v>0</v>
      </c>
      <c r="J459" s="53">
        <f>F459 * G459 * 0</f>
        <v>0</v>
      </c>
      <c r="K459" s="53">
        <f>F459 * G459 * 206.094262</f>
        <v>121084.50081023999</v>
      </c>
      <c r="L459" s="53">
        <f>F459 * G459 * 44.370882</f>
        <v>26068.78059264</v>
      </c>
      <c r="M459" s="53">
        <f>F459 * G459 * 43.297114</f>
        <v>25437.920417279998</v>
      </c>
      <c r="N459" s="54">
        <f>SUM(H459:M459)</f>
        <v>299780.80331903999</v>
      </c>
      <c r="O459" s="72">
        <f t="shared" ref="O459:O460" si="176">N459*1.07*1.09*1.05</f>
        <v>367116.06845654623</v>
      </c>
      <c r="P459" s="37">
        <f t="shared" ref="P459:P460" si="177">IF($P$9&gt;0,O459/$P$9/12,0)</f>
        <v>2.4727615344901541</v>
      </c>
    </row>
    <row r="460" spans="2:16" ht="45" x14ac:dyDescent="0.25">
      <c r="B460" s="30">
        <v>270</v>
      </c>
      <c r="C460" s="31" t="s">
        <v>991</v>
      </c>
      <c r="D460" s="32" t="s">
        <v>992</v>
      </c>
      <c r="E460" s="32" t="s">
        <v>993</v>
      </c>
      <c r="F460" s="51">
        <v>9.52</v>
      </c>
      <c r="G460" s="52">
        <v>144</v>
      </c>
      <c r="H460" s="53">
        <f>F460 * G460 * 189.036004</f>
        <v>259145.67716351995</v>
      </c>
      <c r="I460" s="53">
        <f>F460 * G460 * 0</f>
        <v>0</v>
      </c>
      <c r="J460" s="53">
        <f>F460 * G460 * 0</f>
        <v>0</v>
      </c>
      <c r="K460" s="53">
        <f>F460 * G460 * 179.962276</f>
        <v>246706.68492287997</v>
      </c>
      <c r="L460" s="53">
        <f>F460 * G460 * 38.744819</f>
        <v>53114.497470719994</v>
      </c>
      <c r="M460" s="53">
        <f>F460 * G460 * 37.807201</f>
        <v>51829.135706879992</v>
      </c>
      <c r="N460" s="54">
        <f>SUM(H460:M460)</f>
        <v>610795.99526399991</v>
      </c>
      <c r="O460" s="72">
        <f t="shared" si="176"/>
        <v>747989.93774022325</v>
      </c>
      <c r="P460" s="37">
        <f t="shared" si="177"/>
        <v>5.0381906572652175</v>
      </c>
    </row>
    <row r="461" spans="2:16" x14ac:dyDescent="0.25">
      <c r="B461" s="38"/>
      <c r="C461" s="39" t="s">
        <v>994</v>
      </c>
      <c r="D461" s="50" t="s">
        <v>995</v>
      </c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</row>
    <row r="462" spans="2:16" ht="28.5" x14ac:dyDescent="0.25">
      <c r="B462" s="38"/>
      <c r="C462" s="39" t="s">
        <v>996</v>
      </c>
      <c r="D462" s="41" t="s">
        <v>997</v>
      </c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</row>
    <row r="463" spans="2:16" ht="30" x14ac:dyDescent="0.25">
      <c r="B463" s="30">
        <v>271</v>
      </c>
      <c r="C463" s="31" t="s">
        <v>998</v>
      </c>
      <c r="D463" s="32" t="s">
        <v>999</v>
      </c>
      <c r="E463" s="32" t="s">
        <v>990</v>
      </c>
      <c r="F463" s="33">
        <v>4.08</v>
      </c>
      <c r="G463" s="34">
        <v>24</v>
      </c>
      <c r="H463" s="35">
        <f>F463 * G463 * 277.606601</f>
        <v>27183.23836992</v>
      </c>
      <c r="I463" s="35">
        <f>F463 * G463 * 76.925322</f>
        <v>7532.5275302399996</v>
      </c>
      <c r="J463" s="35">
        <f>F463 * G463 * 0</f>
        <v>0</v>
      </c>
      <c r="K463" s="35">
        <f>F463 * G463 * 264.281485</f>
        <v>25878.443011199997</v>
      </c>
      <c r="L463" s="35">
        <f>F463 * G463 * 64.975408</f>
        <v>6362.3919513600003</v>
      </c>
      <c r="M463" s="35">
        <f>F463 * G463 * 55.52132</f>
        <v>5436.6476544000006</v>
      </c>
      <c r="N463" s="36">
        <f>SUM(H463:M463)</f>
        <v>72393.248517119995</v>
      </c>
      <c r="O463" s="71">
        <f t="shared" ref="O463:O464" si="178">N463*1.07*1.09*1.05</f>
        <v>88653.858032792923</v>
      </c>
      <c r="P463" s="37">
        <f t="shared" ref="P463:P464" si="179">IF($P$9&gt;0,O463/$P$9/12,0)</f>
        <v>0.59714043830688202</v>
      </c>
    </row>
    <row r="464" spans="2:16" ht="30" x14ac:dyDescent="0.25">
      <c r="B464" s="30">
        <v>272</v>
      </c>
      <c r="C464" s="31" t="s">
        <v>1000</v>
      </c>
      <c r="D464" s="32" t="s">
        <v>1001</v>
      </c>
      <c r="E464" s="32" t="s">
        <v>990</v>
      </c>
      <c r="F464" s="33">
        <v>9.52</v>
      </c>
      <c r="G464" s="34">
        <v>24</v>
      </c>
      <c r="H464" s="35">
        <f>F464 * G464 * 237.89623</f>
        <v>54354.530630399997</v>
      </c>
      <c r="I464" s="35">
        <f>F464 * G464 * 76.925322</f>
        <v>17575.897570559999</v>
      </c>
      <c r="J464" s="35">
        <f>F464 * G464 * 0</f>
        <v>0</v>
      </c>
      <c r="K464" s="35">
        <f>F464 * G464 * 226.477211</f>
        <v>51745.513169279999</v>
      </c>
      <c r="L464" s="35">
        <f>F464 * G464 * 56.83637</f>
        <v>12985.973817599999</v>
      </c>
      <c r="M464" s="35">
        <f>F464 * G464 * 47.579246</f>
        <v>10870.906126079999</v>
      </c>
      <c r="N464" s="36">
        <f>SUM(H464:M464)</f>
        <v>147532.82131391999</v>
      </c>
      <c r="O464" s="71">
        <f t="shared" si="178"/>
        <v>180670.90597334615</v>
      </c>
      <c r="P464" s="37">
        <f t="shared" si="179"/>
        <v>1.2169341117937422</v>
      </c>
    </row>
    <row r="465" spans="2:16" x14ac:dyDescent="0.25">
      <c r="B465" s="38"/>
      <c r="C465" s="39" t="s">
        <v>1002</v>
      </c>
      <c r="D465" s="40" t="s">
        <v>1003</v>
      </c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</row>
    <row r="466" spans="2:16" ht="30" x14ac:dyDescent="0.25">
      <c r="B466" s="30">
        <v>273</v>
      </c>
      <c r="C466" s="31" t="s">
        <v>1004</v>
      </c>
      <c r="D466" s="32" t="s">
        <v>1005</v>
      </c>
      <c r="E466" s="32" t="s">
        <v>36</v>
      </c>
      <c r="F466" s="33">
        <v>0.55000000000000004</v>
      </c>
      <c r="G466" s="34">
        <v>1</v>
      </c>
      <c r="H466" s="35">
        <f>F466 * G466 * 164.69739</f>
        <v>90.583564500000008</v>
      </c>
      <c r="I466" s="35">
        <f>F466 * G466 * 9.87897</f>
        <v>5.4334335000000005</v>
      </c>
      <c r="J466" s="35">
        <f>F466 * G466 * 0</f>
        <v>0</v>
      </c>
      <c r="K466" s="35">
        <f>F466 * G466 * 156.791916</f>
        <v>86.235553800000005</v>
      </c>
      <c r="L466" s="35">
        <f>F466 * G466 * 34.793669</f>
        <v>19.136517950000002</v>
      </c>
      <c r="M466" s="35">
        <f>F466 * G466 * 32.939478</f>
        <v>18.116712900000003</v>
      </c>
      <c r="N466" s="36">
        <f>SUM(H466:M466)</f>
        <v>219.50578265000004</v>
      </c>
      <c r="O466" s="71">
        <f t="shared" ref="O466:O467" si="180">N466*1.07*1.09*1.05</f>
        <v>268.8100740199298</v>
      </c>
      <c r="P466" s="37">
        <f t="shared" ref="P466:P467" si="181">IF($P$9&gt;0,O466/$P$9/12,0)</f>
        <v>1.8106077838393804E-3</v>
      </c>
    </row>
    <row r="467" spans="2:16" ht="30" x14ac:dyDescent="0.25">
      <c r="B467" s="30">
        <v>274</v>
      </c>
      <c r="C467" s="31" t="s">
        <v>1006</v>
      </c>
      <c r="D467" s="32" t="s">
        <v>1007</v>
      </c>
      <c r="E467" s="32" t="s">
        <v>1008</v>
      </c>
      <c r="F467" s="33">
        <v>0.36</v>
      </c>
      <c r="G467" s="34">
        <v>2</v>
      </c>
      <c r="H467" s="35">
        <f>F467 * G467 * 414.854426</f>
        <v>298.69518671999998</v>
      </c>
      <c r="I467" s="35">
        <f>F467 * G467 * 48.04673</f>
        <v>34.593645599999995</v>
      </c>
      <c r="J467" s="35">
        <f>F467 * G467 * 0</f>
        <v>0</v>
      </c>
      <c r="K467" s="35">
        <f>F467 * G467 * 394.941414</f>
        <v>284.35781808000002</v>
      </c>
      <c r="L467" s="35">
        <f>F467 * G467 * 90.07347</f>
        <v>64.852898400000001</v>
      </c>
      <c r="M467" s="35">
        <f>F467 * G467 * 82.970885</f>
        <v>59.739037199999991</v>
      </c>
      <c r="N467" s="36">
        <f>SUM(H467:M467)</f>
        <v>742.23858599999994</v>
      </c>
      <c r="O467" s="71">
        <f t="shared" si="180"/>
        <v>908.95650599439011</v>
      </c>
      <c r="P467" s="37">
        <f t="shared" si="181"/>
        <v>6.1224034513039536E-3</v>
      </c>
    </row>
    <row r="468" spans="2:16" x14ac:dyDescent="0.25">
      <c r="B468" s="38"/>
      <c r="C468" s="39" t="s">
        <v>1009</v>
      </c>
      <c r="D468" s="40" t="s">
        <v>1010</v>
      </c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</row>
    <row r="469" spans="2:16" ht="30" x14ac:dyDescent="0.25">
      <c r="B469" s="30">
        <v>275</v>
      </c>
      <c r="C469" s="31" t="s">
        <v>1011</v>
      </c>
      <c r="D469" s="32" t="s">
        <v>1012</v>
      </c>
      <c r="E469" s="32" t="s">
        <v>1013</v>
      </c>
      <c r="F469" s="33">
        <v>0.36699999999999999</v>
      </c>
      <c r="G469" s="34">
        <v>1</v>
      </c>
      <c r="H469" s="35">
        <f>F469 * G469 * 417.782379</f>
        <v>153.32613309299998</v>
      </c>
      <c r="I469" s="35">
        <f>F469 * G469 * 70.02635</f>
        <v>25.699670449999996</v>
      </c>
      <c r="J469" s="35">
        <f>F469 * G469 * 0</f>
        <v>0</v>
      </c>
      <c r="K469" s="35">
        <f>F469 * G469 * 397.728824</f>
        <v>145.966478408</v>
      </c>
      <c r="L469" s="35">
        <f>F469 * G469 * 92.981443</f>
        <v>34.124189580999996</v>
      </c>
      <c r="M469" s="35">
        <f>F469 * G469 * 83.556476</f>
        <v>30.665226692000001</v>
      </c>
      <c r="N469" s="36">
        <f>SUM(H469:M469)</f>
        <v>389.78169822399997</v>
      </c>
      <c r="O469" s="71">
        <f t="shared" ref="O469:O470" si="182">N469*1.07*1.09*1.05</f>
        <v>477.33251437058379</v>
      </c>
      <c r="P469" s="37">
        <f t="shared" ref="P469:P470" si="183">IF($P$9&gt;0,O469/$P$9/12,0)</f>
        <v>3.2151397939607167E-3</v>
      </c>
    </row>
    <row r="470" spans="2:16" ht="30" x14ac:dyDescent="0.25">
      <c r="B470" s="30">
        <v>276</v>
      </c>
      <c r="C470" s="31" t="s">
        <v>1014</v>
      </c>
      <c r="D470" s="32" t="s">
        <v>1015</v>
      </c>
      <c r="E470" s="32" t="s">
        <v>1016</v>
      </c>
      <c r="F470" s="33">
        <v>0.48</v>
      </c>
      <c r="G470" s="34">
        <v>2</v>
      </c>
      <c r="H470" s="35">
        <f>F470 * G470 * 613.040285</f>
        <v>588.51867360000006</v>
      </c>
      <c r="I470" s="35">
        <f>F470 * G470 * 186.070624</f>
        <v>178.62779904000001</v>
      </c>
      <c r="J470" s="35">
        <f>F470 * G470 * 0</f>
        <v>0</v>
      </c>
      <c r="K470" s="35">
        <f>F470 * G470 * 583.614351</f>
        <v>560.26977696000006</v>
      </c>
      <c r="L470" s="35">
        <f>F470 * G470 * 145.186152</f>
        <v>139.37870591999999</v>
      </c>
      <c r="M470" s="35">
        <f>F470 * G470 * 122.608057</f>
        <v>117.70373472</v>
      </c>
      <c r="N470" s="36">
        <f>SUM(H470:M470)</f>
        <v>1584.4986902400001</v>
      </c>
      <c r="O470" s="71">
        <f t="shared" si="182"/>
        <v>1940.4008635482583</v>
      </c>
      <c r="P470" s="37">
        <f t="shared" si="183"/>
        <v>1.3069840928092052E-2</v>
      </c>
    </row>
    <row r="471" spans="2:16" x14ac:dyDescent="0.25">
      <c r="B471" s="38"/>
      <c r="C471" s="39" t="s">
        <v>1017</v>
      </c>
      <c r="D471" s="40" t="s">
        <v>1018</v>
      </c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</row>
    <row r="472" spans="2:16" ht="30" x14ac:dyDescent="0.25">
      <c r="B472" s="30">
        <v>277</v>
      </c>
      <c r="C472" s="31" t="s">
        <v>1019</v>
      </c>
      <c r="D472" s="32" t="s">
        <v>1020</v>
      </c>
      <c r="E472" s="32" t="s">
        <v>1021</v>
      </c>
      <c r="F472" s="33">
        <v>0.77</v>
      </c>
      <c r="G472" s="34">
        <v>2</v>
      </c>
      <c r="H472" s="35">
        <f>F472 * G472 * 195.257906</f>
        <v>300.69717523999998</v>
      </c>
      <c r="I472" s="35">
        <f>F472 * G472 * 58.58163</f>
        <v>90.215710200000004</v>
      </c>
      <c r="J472" s="35">
        <f>F472 * G472 * 0</f>
        <v>0</v>
      </c>
      <c r="K472" s="35">
        <f>F472 * G472 * 185.885527</f>
        <v>286.26371158000001</v>
      </c>
      <c r="L472" s="35">
        <f>F472 * G472 * 46.171131</f>
        <v>71.103541740000011</v>
      </c>
      <c r="M472" s="35">
        <f>F472 * G472 * 39.051581</f>
        <v>60.139434739999999</v>
      </c>
      <c r="N472" s="36">
        <f>SUM(H472:M472)</f>
        <v>808.41957349999984</v>
      </c>
      <c r="O472" s="71">
        <f t="shared" ref="O472:O473" si="184">N472*1.07*1.09*1.05</f>
        <v>990.00273600170249</v>
      </c>
      <c r="P472" s="37">
        <f t="shared" ref="P472:P473" si="185">IF($P$9&gt;0,O472/$P$9/12,0)</f>
        <v>6.6683016488960451E-3</v>
      </c>
    </row>
    <row r="473" spans="2:16" x14ac:dyDescent="0.25">
      <c r="B473" s="30">
        <v>278</v>
      </c>
      <c r="C473" s="31" t="s">
        <v>1022</v>
      </c>
      <c r="D473" s="32" t="s">
        <v>1023</v>
      </c>
      <c r="E473" s="32" t="s">
        <v>1024</v>
      </c>
      <c r="F473" s="33">
        <v>13.6</v>
      </c>
      <c r="G473" s="34">
        <v>1</v>
      </c>
      <c r="H473" s="35">
        <f>F473 * G473 * 192.146955</f>
        <v>2613.1985879999997</v>
      </c>
      <c r="I473" s="35">
        <f>F473 * G473 * 9.252198</f>
        <v>125.8298928</v>
      </c>
      <c r="J473" s="35">
        <f>F473 * G473 * 0</f>
        <v>0</v>
      </c>
      <c r="K473" s="35">
        <f>F473 * G473 * 182.923901</f>
        <v>2487.7650536000001</v>
      </c>
      <c r="L473" s="35">
        <f>F473 * G473 * 40.35392</f>
        <v>548.813312</v>
      </c>
      <c r="M473" s="35">
        <f>F473 * G473 * 38.429391</f>
        <v>522.63971760000004</v>
      </c>
      <c r="N473" s="36">
        <f>SUM(H473:M473)</f>
        <v>6298.246564</v>
      </c>
      <c r="O473" s="71">
        <f t="shared" si="184"/>
        <v>7712.9272159728616</v>
      </c>
      <c r="P473" s="37">
        <f t="shared" si="185"/>
        <v>5.1951498113838111E-2</v>
      </c>
    </row>
    <row r="474" spans="2:16" ht="28.5" x14ac:dyDescent="0.25">
      <c r="B474" s="43" t="s">
        <v>372</v>
      </c>
      <c r="C474" s="43"/>
      <c r="D474" s="43"/>
      <c r="E474" s="43"/>
      <c r="F474" s="43"/>
      <c r="G474" s="43"/>
      <c r="H474" s="45">
        <f t="shared" ref="H474:P474" si="186">SUM(H455:H473)</f>
        <v>471918.06698387297</v>
      </c>
      <c r="I474" s="45">
        <f t="shared" si="186"/>
        <v>25568.825252390001</v>
      </c>
      <c r="J474" s="45">
        <f t="shared" si="186"/>
        <v>0</v>
      </c>
      <c r="K474" s="45">
        <f t="shared" si="186"/>
        <v>449266.00030602806</v>
      </c>
      <c r="L474" s="45">
        <f t="shared" si="186"/>
        <v>99409.052997910971</v>
      </c>
      <c r="M474" s="45">
        <f t="shared" si="186"/>
        <v>94383.613768491981</v>
      </c>
      <c r="N474" s="45">
        <f t="shared" si="186"/>
        <v>1140545.559308694</v>
      </c>
      <c r="O474" s="45">
        <f t="shared" si="186"/>
        <v>1396729.2001128162</v>
      </c>
      <c r="P474" s="45">
        <f t="shared" si="186"/>
        <v>9.4078645335759266</v>
      </c>
    </row>
    <row r="475" spans="2:16" x14ac:dyDescent="0.25">
      <c r="B475" s="23" t="s">
        <v>1025</v>
      </c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46"/>
      <c r="N475" s="46"/>
      <c r="O475" s="46"/>
      <c r="P475" s="47"/>
    </row>
    <row r="476" spans="2:16" x14ac:dyDescent="0.25"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48"/>
      <c r="N476" s="48"/>
      <c r="O476" s="48"/>
      <c r="P476" s="49"/>
    </row>
    <row r="477" spans="2:16" ht="28.5" x14ac:dyDescent="0.25">
      <c r="B477" s="27"/>
      <c r="C477" s="28" t="s">
        <v>350</v>
      </c>
      <c r="D477" s="29" t="s">
        <v>351</v>
      </c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</row>
    <row r="478" spans="2:16" x14ac:dyDescent="0.25">
      <c r="B478" s="38"/>
      <c r="C478" s="39" t="s">
        <v>1026</v>
      </c>
      <c r="D478" s="40" t="s">
        <v>1027</v>
      </c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</row>
    <row r="479" spans="2:16" ht="30" x14ac:dyDescent="0.25">
      <c r="B479" s="30">
        <v>279</v>
      </c>
      <c r="C479" s="31" t="s">
        <v>1028</v>
      </c>
      <c r="D479" s="32" t="s">
        <v>1029</v>
      </c>
      <c r="E479" s="32" t="s">
        <v>1030</v>
      </c>
      <c r="F479" s="33">
        <v>1.99</v>
      </c>
      <c r="G479" s="34">
        <v>72</v>
      </c>
      <c r="H479" s="35">
        <f>F479 * G479 * 226.678018</f>
        <v>32478.426419040003</v>
      </c>
      <c r="I479" s="35">
        <f>F479 * G479 * 1.65976</f>
        <v>237.81041279999999</v>
      </c>
      <c r="J479" s="35">
        <f>F479 * G479 * 0</f>
        <v>0</v>
      </c>
      <c r="K479" s="35">
        <f>F479 * G479 * 215.797473</f>
        <v>30919.461931440001</v>
      </c>
      <c r="L479" s="35">
        <f>F479 * G479 * 46.634201</f>
        <v>6681.74831928</v>
      </c>
      <c r="M479" s="35">
        <f>F479 * G479 * 45.335604</f>
        <v>6495.68534112</v>
      </c>
      <c r="N479" s="36">
        <f>SUM(H479:M479)</f>
        <v>76813.132423679999</v>
      </c>
      <c r="O479" s="71">
        <f>N479*1.07*1.09*1.05</f>
        <v>94066.514163024898</v>
      </c>
      <c r="P479" s="37">
        <f t="shared" ref="P479" si="187">IF($P$9&gt;0,O479/$P$9/12,0)</f>
        <v>0.63359813936728704</v>
      </c>
    </row>
    <row r="480" spans="2:16" x14ac:dyDescent="0.25">
      <c r="B480" s="38"/>
      <c r="C480" s="39" t="s">
        <v>1031</v>
      </c>
      <c r="D480" s="40" t="s">
        <v>1032</v>
      </c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</row>
    <row r="481" spans="2:16" x14ac:dyDescent="0.25">
      <c r="B481" s="38"/>
      <c r="C481" s="39" t="s">
        <v>1033</v>
      </c>
      <c r="D481" s="55" t="s">
        <v>1034</v>
      </c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</row>
    <row r="482" spans="2:16" ht="30" x14ac:dyDescent="0.25">
      <c r="B482" s="30">
        <v>280</v>
      </c>
      <c r="C482" s="31" t="s">
        <v>1035</v>
      </c>
      <c r="D482" s="32" t="s">
        <v>1036</v>
      </c>
      <c r="E482" s="32" t="s">
        <v>1037</v>
      </c>
      <c r="F482" s="33">
        <v>3.3000000000000002E-2</v>
      </c>
      <c r="G482" s="34">
        <v>14</v>
      </c>
      <c r="H482" s="35">
        <f>F482 * G482 * 198840.934782</f>
        <v>91864.511869284004</v>
      </c>
      <c r="I482" s="35">
        <f>F482 * G482 * 1427.858195</f>
        <v>659.67048609000005</v>
      </c>
      <c r="J482" s="35">
        <f>F482 * G482 * 0</f>
        <v>0</v>
      </c>
      <c r="K482" s="35">
        <f>F482 * G482 * 189296.569912</f>
        <v>87455.015299344013</v>
      </c>
      <c r="L482" s="35">
        <f>F482 * G482 * 40904.363103</f>
        <v>18897.815753586001</v>
      </c>
      <c r="M482" s="35">
        <f>F482 * G482 * 39768.186956</f>
        <v>18372.902373672001</v>
      </c>
      <c r="N482" s="36">
        <f>SUM(H482:M482)</f>
        <v>217249.91578197601</v>
      </c>
      <c r="O482" s="71">
        <f t="shared" ref="O482:O484" si="188">N482*1.07*1.09*1.05</f>
        <v>266047.50561534462</v>
      </c>
      <c r="P482" s="37">
        <f t="shared" ref="P482:P484" si="189">IF($P$9&gt;0,O482/$P$9/12,0)</f>
        <v>1.7920001186506129</v>
      </c>
    </row>
    <row r="483" spans="2:16" ht="30" x14ac:dyDescent="0.25">
      <c r="B483" s="30">
        <v>281</v>
      </c>
      <c r="C483" s="31" t="s">
        <v>1038</v>
      </c>
      <c r="D483" s="32" t="s">
        <v>1039</v>
      </c>
      <c r="E483" s="32" t="s">
        <v>1040</v>
      </c>
      <c r="F483" s="33">
        <v>3.3000000000000002E-2</v>
      </c>
      <c r="G483" s="34">
        <v>4</v>
      </c>
      <c r="H483" s="35">
        <f>F483 * G483 * 17043.46</f>
        <v>2249.7367199999999</v>
      </c>
      <c r="I483" s="35">
        <f>F483 * G483 * 0</f>
        <v>0</v>
      </c>
      <c r="J483" s="35">
        <f>F483 * G483 * 0</f>
        <v>0</v>
      </c>
      <c r="K483" s="35">
        <f>F483 * G483 * 16225.37392</f>
        <v>2141.74935744</v>
      </c>
      <c r="L483" s="35">
        <f>F483 * G483 * 3493.227562</f>
        <v>461.106038184</v>
      </c>
      <c r="M483" s="35">
        <f>F483 * G483 * 3408.692</f>
        <v>449.94734400000004</v>
      </c>
      <c r="N483" s="36">
        <f>SUM(H483:M483)</f>
        <v>5302.5394596240003</v>
      </c>
      <c r="O483" s="71">
        <f t="shared" si="188"/>
        <v>6493.5693603474465</v>
      </c>
      <c r="P483" s="37">
        <f t="shared" si="189"/>
        <v>4.3738343034994659E-2</v>
      </c>
    </row>
    <row r="484" spans="2:16" ht="30" x14ac:dyDescent="0.25">
      <c r="B484" s="30">
        <v>282</v>
      </c>
      <c r="C484" s="31" t="s">
        <v>1041</v>
      </c>
      <c r="D484" s="32" t="s">
        <v>1042</v>
      </c>
      <c r="E484" s="32" t="s">
        <v>1043</v>
      </c>
      <c r="F484" s="33">
        <v>33.409999999999997</v>
      </c>
      <c r="G484" s="34">
        <v>4</v>
      </c>
      <c r="H484" s="35">
        <f>F484 * G484 * 179.337158</f>
        <v>23966.617795119997</v>
      </c>
      <c r="I484" s="35">
        <f>F484 * G484 * 39.834236</f>
        <v>5323.4472990399991</v>
      </c>
      <c r="J484" s="35">
        <f>F484 * G484 * 60.102</f>
        <v>8032.0312799999983</v>
      </c>
      <c r="K484" s="35">
        <f>F484 * G484 * 170.728975</f>
        <v>22816.220218999995</v>
      </c>
      <c r="L484" s="35">
        <f>F484 * G484 * 47.250249</f>
        <v>6314.5232763599988</v>
      </c>
      <c r="M484" s="35">
        <f>F484 * G484 * 35.867432</f>
        <v>4793.3236124799996</v>
      </c>
      <c r="N484" s="36">
        <f>SUM(H484:M484)</f>
        <v>71246.163481999989</v>
      </c>
      <c r="O484" s="71">
        <f t="shared" si="188"/>
        <v>87249.120492509435</v>
      </c>
      <c r="P484" s="37">
        <f t="shared" si="189"/>
        <v>0.5876786324799913</v>
      </c>
    </row>
    <row r="485" spans="2:16" x14ac:dyDescent="0.25">
      <c r="B485" s="38"/>
      <c r="C485" s="39" t="s">
        <v>1044</v>
      </c>
      <c r="D485" s="55" t="s">
        <v>1045</v>
      </c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</row>
    <row r="486" spans="2:16" ht="30" x14ac:dyDescent="0.25">
      <c r="B486" s="30">
        <v>283</v>
      </c>
      <c r="C486" s="31" t="s">
        <v>1046</v>
      </c>
      <c r="D486" s="32" t="s">
        <v>1047</v>
      </c>
      <c r="E486" s="32" t="s">
        <v>1048</v>
      </c>
      <c r="F486" s="33">
        <v>0.03</v>
      </c>
      <c r="G486" s="34">
        <v>96</v>
      </c>
      <c r="H486" s="35">
        <f>F486 * G486 * 410.747386</f>
        <v>1182.9524716799999</v>
      </c>
      <c r="I486" s="35">
        <f>F486 * G486 * 663.903936</f>
        <v>1912.0433356800002</v>
      </c>
      <c r="J486" s="35">
        <f>F486 * G486 * 0</f>
        <v>0</v>
      </c>
      <c r="K486" s="35">
        <f>F486 * G486 * 391.031512</f>
        <v>1126.17075456</v>
      </c>
      <c r="L486" s="35">
        <f>F486 * G486 * 153.896697</f>
        <v>443.22248735999995</v>
      </c>
      <c r="M486" s="35">
        <f>F486 * G486 * 82.149477</f>
        <v>236.59049376000002</v>
      </c>
      <c r="N486" s="36">
        <f>SUM(H486:M486)</f>
        <v>4900.97954304</v>
      </c>
      <c r="O486" s="71">
        <f>N486*1.07*1.09*1.05</f>
        <v>6001.8130630999294</v>
      </c>
      <c r="P486" s="37">
        <f t="shared" ref="P486" si="190">IF($P$9&gt;0,O486/$P$9/12,0)</f>
        <v>4.0426049837670612E-2</v>
      </c>
    </row>
    <row r="487" spans="2:16" x14ac:dyDescent="0.25">
      <c r="B487" s="38"/>
      <c r="C487" s="39" t="s">
        <v>1049</v>
      </c>
      <c r="D487" s="40" t="s">
        <v>1050</v>
      </c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</row>
    <row r="488" spans="2:16" ht="30" x14ac:dyDescent="0.25">
      <c r="B488" s="30">
        <v>284</v>
      </c>
      <c r="C488" s="31" t="s">
        <v>1051</v>
      </c>
      <c r="D488" s="32" t="s">
        <v>1052</v>
      </c>
      <c r="E488" s="32" t="s">
        <v>1053</v>
      </c>
      <c r="F488" s="33">
        <v>0.19900000000000001</v>
      </c>
      <c r="G488" s="34">
        <v>30</v>
      </c>
      <c r="H488" s="35">
        <f>F488 * G488 * 17328.085782</f>
        <v>103448.67211853999</v>
      </c>
      <c r="I488" s="35">
        <f>F488 * G488 * 0</f>
        <v>0</v>
      </c>
      <c r="J488" s="35">
        <f>F488 * G488 * 0</f>
        <v>0</v>
      </c>
      <c r="K488" s="35">
        <f>F488 * G488 * 16496.337664</f>
        <v>98483.135854079999</v>
      </c>
      <c r="L488" s="35">
        <f>F488 * G488 * 3551.564462</f>
        <v>21202.83983814</v>
      </c>
      <c r="M488" s="35">
        <f>F488 * G488 * 3465.617156</f>
        <v>20689.734421320001</v>
      </c>
      <c r="N488" s="36">
        <f>SUM(H488:M488)</f>
        <v>243824.38223208001</v>
      </c>
      <c r="O488" s="71">
        <f>N488*1.07*1.09*1.05</f>
        <v>298590.99584713869</v>
      </c>
      <c r="P488" s="37">
        <f t="shared" ref="P488" si="191">IF($P$9&gt;0,O488/$P$9/12,0)</f>
        <v>2.0112013407097931</v>
      </c>
    </row>
    <row r="489" spans="2:16" x14ac:dyDescent="0.25">
      <c r="B489" s="38"/>
      <c r="C489" s="39" t="s">
        <v>1054</v>
      </c>
      <c r="D489" s="40" t="s">
        <v>1055</v>
      </c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</row>
    <row r="490" spans="2:16" x14ac:dyDescent="0.25">
      <c r="B490" s="30">
        <v>285</v>
      </c>
      <c r="C490" s="31" t="s">
        <v>1056</v>
      </c>
      <c r="D490" s="32" t="s">
        <v>1057</v>
      </c>
      <c r="E490" s="32" t="s">
        <v>99</v>
      </c>
      <c r="F490" s="33">
        <v>19.98</v>
      </c>
      <c r="G490" s="34">
        <v>30</v>
      </c>
      <c r="H490" s="35">
        <f>F490 * G490 * 36.813874</f>
        <v>22066.236075599998</v>
      </c>
      <c r="I490" s="35">
        <f>F490 * G490 * 79.313674</f>
        <v>47540.6161956</v>
      </c>
      <c r="J490" s="35">
        <f>F490 * G490 * 0</f>
        <v>0</v>
      </c>
      <c r="K490" s="35">
        <f>F490 * G490 * 35.046808</f>
        <v>21007.056715199997</v>
      </c>
      <c r="L490" s="35">
        <f>F490 * G490 * 15.873308</f>
        <v>9514.4608152000001</v>
      </c>
      <c r="M490" s="35">
        <f>F490 * G490 * 7.362775</f>
        <v>4413.247335</v>
      </c>
      <c r="N490" s="36">
        <f>SUM(H490:M490)</f>
        <v>104541.61713659999</v>
      </c>
      <c r="O490" s="71">
        <f>N490*1.07*1.09*1.05</f>
        <v>128023.23246973743</v>
      </c>
      <c r="P490" s="37">
        <f t="shared" ref="P490" si="192">IF($P$9&gt;0,O490/$P$9/12,0)</f>
        <v>0.86231835643480859</v>
      </c>
    </row>
    <row r="491" spans="2:16" x14ac:dyDescent="0.25">
      <c r="B491" s="38"/>
      <c r="C491" s="39" t="s">
        <v>1058</v>
      </c>
      <c r="D491" s="40" t="s">
        <v>1059</v>
      </c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</row>
    <row r="492" spans="2:16" ht="30" x14ac:dyDescent="0.25">
      <c r="B492" s="30">
        <v>286</v>
      </c>
      <c r="C492" s="31"/>
      <c r="D492" s="32" t="s">
        <v>1060</v>
      </c>
      <c r="E492" s="32" t="s">
        <v>1061</v>
      </c>
      <c r="F492" s="33">
        <f>1998.6*0.2</f>
        <v>399.72</v>
      </c>
      <c r="G492" s="34">
        <v>3</v>
      </c>
      <c r="H492" s="35">
        <f>F492 * G492 * 0</f>
        <v>0</v>
      </c>
      <c r="I492" s="35">
        <f>F492 * G492 * 0</f>
        <v>0</v>
      </c>
      <c r="J492" s="35"/>
      <c r="K492" s="35"/>
      <c r="L492" s="35"/>
      <c r="M492" s="35"/>
      <c r="N492" s="36">
        <f>F492*125*G492</f>
        <v>149895</v>
      </c>
      <c r="O492" s="71">
        <f t="shared" ref="O492:O494" si="193">N492*1.07*1.09*1.05</f>
        <v>183563.66542500004</v>
      </c>
      <c r="P492" s="37">
        <f t="shared" ref="P492:P494" si="194">IF($P$9&gt;0,O492/$P$9/12,0)</f>
        <v>1.2364186969568383</v>
      </c>
    </row>
    <row r="493" spans="2:16" x14ac:dyDescent="0.25">
      <c r="B493" s="30">
        <v>287</v>
      </c>
      <c r="C493" s="31"/>
      <c r="D493" s="56" t="s">
        <v>1062</v>
      </c>
      <c r="E493" s="56" t="s">
        <v>132</v>
      </c>
      <c r="F493" s="57">
        <v>1998.6</v>
      </c>
      <c r="G493" s="58">
        <v>3</v>
      </c>
      <c r="H493" s="59"/>
      <c r="I493" s="59"/>
      <c r="J493" s="59"/>
      <c r="K493" s="59"/>
      <c r="L493" s="59"/>
      <c r="M493" s="59"/>
      <c r="N493" s="60">
        <f>F493*0.2*G493*275</f>
        <v>329769</v>
      </c>
      <c r="O493" s="73">
        <f t="shared" si="193"/>
        <v>403840.0639350001</v>
      </c>
      <c r="P493" s="37">
        <f t="shared" si="194"/>
        <v>2.7201211333050441</v>
      </c>
    </row>
    <row r="494" spans="2:16" x14ac:dyDescent="0.25">
      <c r="B494" s="30">
        <v>288</v>
      </c>
      <c r="C494" s="31"/>
      <c r="D494" s="56" t="s">
        <v>1063</v>
      </c>
      <c r="E494" s="32" t="s">
        <v>1061</v>
      </c>
      <c r="F494" s="33">
        <f>1998.6*0.2</f>
        <v>399.72</v>
      </c>
      <c r="G494" s="58">
        <v>3</v>
      </c>
      <c r="H494" s="59"/>
      <c r="I494" s="59"/>
      <c r="J494" s="59"/>
      <c r="K494" s="59"/>
      <c r="L494" s="59"/>
      <c r="M494" s="59"/>
      <c r="N494" s="36">
        <f>F494*200*G494</f>
        <v>239832</v>
      </c>
      <c r="O494" s="71">
        <f t="shared" si="193"/>
        <v>293701.86468000006</v>
      </c>
      <c r="P494" s="37">
        <f t="shared" si="194"/>
        <v>1.9782699151309411</v>
      </c>
    </row>
    <row r="495" spans="2:16" ht="28.5" x14ac:dyDescent="0.25">
      <c r="B495" s="43" t="s">
        <v>372</v>
      </c>
      <c r="C495" s="43"/>
      <c r="D495" s="43"/>
      <c r="E495" s="43"/>
      <c r="F495" s="43"/>
      <c r="G495" s="43"/>
      <c r="H495" s="45">
        <f t="shared" ref="H495:P495" si="195">SUM(H479:H494)</f>
        <v>277257.15346926404</v>
      </c>
      <c r="I495" s="45">
        <f t="shared" si="195"/>
        <v>55673.587729209998</v>
      </c>
      <c r="J495" s="45">
        <f t="shared" si="195"/>
        <v>8032.0312799999983</v>
      </c>
      <c r="K495" s="45">
        <f t="shared" si="195"/>
        <v>263948.81013106403</v>
      </c>
      <c r="L495" s="45">
        <f t="shared" si="195"/>
        <v>63515.716528110002</v>
      </c>
      <c r="M495" s="45">
        <f t="shared" si="195"/>
        <v>55451.430921351995</v>
      </c>
      <c r="N495" s="45">
        <f t="shared" si="195"/>
        <v>1443374.730059</v>
      </c>
      <c r="O495" s="45">
        <f t="shared" si="195"/>
        <v>1767578.3450512029</v>
      </c>
      <c r="P495" s="45">
        <f t="shared" si="195"/>
        <v>11.905770725907981</v>
      </c>
    </row>
    <row r="496" spans="2:16" x14ac:dyDescent="0.25">
      <c r="B496" s="23" t="s">
        <v>1064</v>
      </c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46"/>
      <c r="N496" s="46"/>
      <c r="O496" s="46"/>
      <c r="P496" s="47"/>
    </row>
    <row r="497" spans="2:16" x14ac:dyDescent="0.25"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48"/>
      <c r="N497" s="48"/>
      <c r="O497" s="48"/>
      <c r="P497" s="49"/>
    </row>
    <row r="498" spans="2:16" ht="42.75" x14ac:dyDescent="0.25">
      <c r="B498" s="27"/>
      <c r="C498" s="28" t="s">
        <v>980</v>
      </c>
      <c r="D498" s="29" t="s">
        <v>981</v>
      </c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</row>
    <row r="499" spans="2:16" x14ac:dyDescent="0.25">
      <c r="B499" s="38"/>
      <c r="C499" s="39" t="s">
        <v>1065</v>
      </c>
      <c r="D499" s="40" t="s">
        <v>1066</v>
      </c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</row>
    <row r="500" spans="2:16" x14ac:dyDescent="0.25">
      <c r="B500" s="38"/>
      <c r="C500" s="39" t="s">
        <v>1067</v>
      </c>
      <c r="D500" s="61" t="s">
        <v>1068</v>
      </c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</row>
    <row r="501" spans="2:16" ht="30" x14ac:dyDescent="0.25">
      <c r="B501" s="30">
        <v>289</v>
      </c>
      <c r="C501" s="31" t="s">
        <v>1069</v>
      </c>
      <c r="D501" s="32" t="s">
        <v>1070</v>
      </c>
      <c r="E501" s="32" t="s">
        <v>1071</v>
      </c>
      <c r="F501" s="33">
        <v>1</v>
      </c>
      <c r="G501" s="34">
        <v>6</v>
      </c>
      <c r="H501" s="35">
        <f>F501 * G501 * 165.031823</f>
        <v>990.19093799999996</v>
      </c>
      <c r="I501" s="35">
        <f>F501 * G501 * 1137.00312</f>
        <v>6822.01872</v>
      </c>
      <c r="J501" s="35">
        <f>F501 * G501 * 0</f>
        <v>0</v>
      </c>
      <c r="K501" s="35">
        <f>F501 * G501 * 157.110296</f>
        <v>942.66177600000003</v>
      </c>
      <c r="L501" s="35">
        <f>F501 * G501 * 153.21025</f>
        <v>919.26150000000007</v>
      </c>
      <c r="M501" s="35">
        <f>F501 * G501 * 33.006365</f>
        <v>198.03819000000001</v>
      </c>
      <c r="N501" s="36">
        <f>SUM(H501:M501)</f>
        <v>9872.1711240000004</v>
      </c>
      <c r="O501" s="71">
        <f>N501*1.07*1.09*1.05</f>
        <v>12089.608841017263</v>
      </c>
      <c r="P501" s="37">
        <f t="shared" ref="P501" si="196">IF($P$9&gt;0,O501/$P$9/12,0)</f>
        <v>8.143124825558562E-2</v>
      </c>
    </row>
    <row r="502" spans="2:16" ht="28.5" x14ac:dyDescent="0.25">
      <c r="B502" s="27"/>
      <c r="C502" s="28" t="s">
        <v>350</v>
      </c>
      <c r="D502" s="29" t="s">
        <v>351</v>
      </c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</row>
    <row r="503" spans="2:16" x14ac:dyDescent="0.25">
      <c r="B503" s="30">
        <v>290</v>
      </c>
      <c r="C503" s="31" t="s">
        <v>1072</v>
      </c>
      <c r="D503" s="32" t="s">
        <v>1073</v>
      </c>
      <c r="E503" s="32" t="s">
        <v>102</v>
      </c>
      <c r="F503" s="33">
        <v>0.2</v>
      </c>
      <c r="G503" s="34">
        <v>30</v>
      </c>
      <c r="H503" s="35">
        <f>F503 * G503 * 1022.6076</f>
        <v>6135.6455999999998</v>
      </c>
      <c r="I503" s="35">
        <f>F503 * G503 * 0</f>
        <v>0</v>
      </c>
      <c r="J503" s="35">
        <f>F503 * G503 * 0</f>
        <v>0</v>
      </c>
      <c r="K503" s="35">
        <f>F503 * G503 * 973.522435</f>
        <v>5841.1346100000001</v>
      </c>
      <c r="L503" s="35">
        <f>F503 * G503 * 209.593654</f>
        <v>1257.5619239999999</v>
      </c>
      <c r="M503" s="35">
        <f>F503 * G503 * 204.52152</f>
        <v>1227.1291200000001</v>
      </c>
      <c r="N503" s="36">
        <f>SUM(H503:M503)</f>
        <v>14461.471254</v>
      </c>
      <c r="O503" s="71">
        <f t="shared" ref="O503:O504" si="197">N503*1.07*1.09*1.05</f>
        <v>17709.734619717216</v>
      </c>
      <c r="P503" s="37">
        <f t="shared" ref="P503:P504" si="198">IF($P$9&gt;0,O503/$P$9/12,0)</f>
        <v>0.11928639009939929</v>
      </c>
    </row>
    <row r="504" spans="2:16" x14ac:dyDescent="0.25">
      <c r="B504" s="30">
        <v>291</v>
      </c>
      <c r="C504" s="31" t="s">
        <v>1074</v>
      </c>
      <c r="D504" s="32" t="s">
        <v>1075</v>
      </c>
      <c r="E504" s="32" t="s">
        <v>1043</v>
      </c>
      <c r="F504" s="33">
        <v>0.2</v>
      </c>
      <c r="G504" s="34">
        <v>300</v>
      </c>
      <c r="H504" s="35">
        <f>F504 * G504 * 414.156078</f>
        <v>24849.364679999999</v>
      </c>
      <c r="I504" s="35">
        <f>F504 * G504 * 2.987568</f>
        <v>179.25407999999999</v>
      </c>
      <c r="J504" s="35">
        <f>F504 * G504 * 0</f>
        <v>0</v>
      </c>
      <c r="K504" s="35">
        <f>F504 * G504 * 394.276587</f>
        <v>23656.595219999999</v>
      </c>
      <c r="L504" s="35">
        <f>F504 * G504 * 85.199124</f>
        <v>5111.9474399999999</v>
      </c>
      <c r="M504" s="35">
        <f>F504 * G504 * 82.831216</f>
        <v>4969.8729599999997</v>
      </c>
      <c r="N504" s="36">
        <f>SUM(H504:M504)</f>
        <v>58767.034380000005</v>
      </c>
      <c r="O504" s="71">
        <f t="shared" si="197"/>
        <v>71966.991807263723</v>
      </c>
      <c r="P504" s="37">
        <f t="shared" si="198"/>
        <v>0.48474372108567548</v>
      </c>
    </row>
    <row r="505" spans="2:16" ht="28.5" x14ac:dyDescent="0.25">
      <c r="B505" s="43" t="s">
        <v>372</v>
      </c>
      <c r="C505" s="43"/>
      <c r="D505" s="43"/>
      <c r="E505" s="43"/>
      <c r="F505" s="43"/>
      <c r="G505" s="43"/>
      <c r="H505" s="44">
        <f t="shared" ref="H505:O505" si="199">SUM(H498:H504)</f>
        <v>31975.201217999998</v>
      </c>
      <c r="I505" s="44">
        <f t="shared" si="199"/>
        <v>7001.2727999999997</v>
      </c>
      <c r="J505" s="44">
        <f t="shared" si="199"/>
        <v>0</v>
      </c>
      <c r="K505" s="44">
        <f t="shared" si="199"/>
        <v>30440.391605999997</v>
      </c>
      <c r="L505" s="44">
        <f t="shared" si="199"/>
        <v>7288.7708640000001</v>
      </c>
      <c r="M505" s="44">
        <f t="shared" si="199"/>
        <v>6395.0402699999995</v>
      </c>
      <c r="N505" s="44">
        <f t="shared" si="199"/>
        <v>83100.676758000001</v>
      </c>
      <c r="O505" s="44">
        <f t="shared" si="199"/>
        <v>101766.33526799821</v>
      </c>
      <c r="P505" s="45">
        <f>SUM(P501:P504)</f>
        <v>0.68546135944066044</v>
      </c>
    </row>
    <row r="506" spans="2:16" x14ac:dyDescent="0.25">
      <c r="B506" s="23" t="s">
        <v>1076</v>
      </c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46"/>
      <c r="N506" s="46"/>
      <c r="O506" s="46"/>
      <c r="P506" s="47"/>
    </row>
    <row r="507" spans="2:16" x14ac:dyDescent="0.25"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48"/>
      <c r="N507" s="48"/>
      <c r="O507" s="48"/>
      <c r="P507" s="49"/>
    </row>
    <row r="508" spans="2:16" x14ac:dyDescent="0.25">
      <c r="B508" s="27"/>
      <c r="C508" s="28" t="s">
        <v>1077</v>
      </c>
      <c r="D508" s="29" t="s">
        <v>1078</v>
      </c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</row>
    <row r="509" spans="2:16" x14ac:dyDescent="0.25">
      <c r="B509" s="38"/>
      <c r="C509" s="39" t="s">
        <v>1079</v>
      </c>
      <c r="D509" s="40" t="s">
        <v>1080</v>
      </c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</row>
    <row r="510" spans="2:16" ht="30" x14ac:dyDescent="0.25">
      <c r="B510" s="30">
        <v>292</v>
      </c>
      <c r="C510" s="31" t="s">
        <v>1081</v>
      </c>
      <c r="D510" s="32" t="s">
        <v>1082</v>
      </c>
      <c r="E510" s="32" t="s">
        <v>1083</v>
      </c>
      <c r="F510" s="33">
        <v>3.21</v>
      </c>
      <c r="G510" s="34">
        <v>12</v>
      </c>
      <c r="H510" s="35">
        <f>F510 * G510 * 1133.6668</f>
        <v>43668.845135999996</v>
      </c>
      <c r="I510" s="35">
        <f>F510 * G510 * 4.82112</f>
        <v>185.70954239999998</v>
      </c>
      <c r="J510" s="35">
        <f>F510 * G510 * 0</f>
        <v>0</v>
      </c>
      <c r="K510" s="35">
        <f>F510 * G510 * 1079.250794</f>
        <v>41572.740584879997</v>
      </c>
      <c r="L510" s="35">
        <f>F510 * G510 * 232.862565</f>
        <v>8969.866003799998</v>
      </c>
      <c r="M510" s="35">
        <f>F510 * G510 * 226.73336</f>
        <v>8733.7690272</v>
      </c>
      <c r="N510" s="36">
        <f>SUM(H510:M510)</f>
        <v>103130.93029427998</v>
      </c>
      <c r="O510" s="71">
        <f t="shared" ref="O510:O511" si="200">N510*1.07*1.09*1.05</f>
        <v>126295.68420232969</v>
      </c>
      <c r="P510" s="37">
        <f t="shared" ref="P510:P511" si="201">IF($P$9&gt;0,O510/$P$9/12,0)</f>
        <v>0.85068221388572107</v>
      </c>
    </row>
    <row r="511" spans="2:16" ht="30" x14ac:dyDescent="0.25">
      <c r="B511" s="30">
        <v>293</v>
      </c>
      <c r="C511" s="31" t="s">
        <v>1084</v>
      </c>
      <c r="D511" s="32" t="s">
        <v>1085</v>
      </c>
      <c r="E511" s="32" t="s">
        <v>1083</v>
      </c>
      <c r="F511" s="33">
        <v>1.69</v>
      </c>
      <c r="G511" s="34">
        <v>2</v>
      </c>
      <c r="H511" s="35">
        <f>F511 * G511 * 807.737595</f>
        <v>2730.1530711</v>
      </c>
      <c r="I511" s="35">
        <f>F511 * G511 * 535.68</f>
        <v>1810.5983999999999</v>
      </c>
      <c r="J511" s="35">
        <f>F511 * G511 * 0</f>
        <v>0</v>
      </c>
      <c r="K511" s="35">
        <f>F511 * G511 * 768.966191</f>
        <v>2599.1057255799997</v>
      </c>
      <c r="L511" s="35">
        <f>F511 * G511 * 221.800298</f>
        <v>749.68500724</v>
      </c>
      <c r="M511" s="35">
        <f>F511 * G511 * 161.547519</f>
        <v>546.03061421999996</v>
      </c>
      <c r="N511" s="36">
        <f>SUM(H511:M511)</f>
        <v>8435.5728181400009</v>
      </c>
      <c r="O511" s="71">
        <f t="shared" si="200"/>
        <v>10330.329006686519</v>
      </c>
      <c r="P511" s="37">
        <f t="shared" si="201"/>
        <v>6.9581373307242969E-2</v>
      </c>
    </row>
    <row r="512" spans="2:16" ht="28.5" x14ac:dyDescent="0.25">
      <c r="B512" s="43" t="s">
        <v>372</v>
      </c>
      <c r="C512" s="43"/>
      <c r="D512" s="43"/>
      <c r="E512" s="43"/>
      <c r="F512" s="43"/>
      <c r="G512" s="43"/>
      <c r="H512" s="44">
        <f t="shared" ref="H512:O512" si="202">SUM(H508:H511)</f>
        <v>46398.998207099998</v>
      </c>
      <c r="I512" s="44">
        <f t="shared" si="202"/>
        <v>1996.3079423999998</v>
      </c>
      <c r="J512" s="44">
        <f t="shared" si="202"/>
        <v>0</v>
      </c>
      <c r="K512" s="44">
        <f t="shared" si="202"/>
        <v>44171.846310459994</v>
      </c>
      <c r="L512" s="44">
        <f t="shared" si="202"/>
        <v>9719.5510110399973</v>
      </c>
      <c r="M512" s="44">
        <f t="shared" si="202"/>
        <v>9279.7996414200006</v>
      </c>
      <c r="N512" s="44">
        <f t="shared" si="202"/>
        <v>111566.50311241999</v>
      </c>
      <c r="O512" s="44">
        <f t="shared" si="202"/>
        <v>136626.01320901621</v>
      </c>
      <c r="P512" s="45">
        <f>SUM(P510:P511)</f>
        <v>0.92026358719296408</v>
      </c>
    </row>
    <row r="513" spans="2:16" x14ac:dyDescent="0.25">
      <c r="B513" s="23" t="s">
        <v>1086</v>
      </c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46"/>
      <c r="N513" s="46"/>
      <c r="O513" s="46"/>
      <c r="P513" s="47"/>
    </row>
    <row r="514" spans="2:16" x14ac:dyDescent="0.25">
      <c r="B514" s="27"/>
      <c r="C514" s="28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</row>
    <row r="515" spans="2:16" x14ac:dyDescent="0.25">
      <c r="B515" s="30">
        <v>294</v>
      </c>
      <c r="C515" s="31"/>
      <c r="D515" s="32" t="s">
        <v>1087</v>
      </c>
      <c r="E515" s="32"/>
      <c r="F515" s="33"/>
      <c r="G515" s="62"/>
      <c r="H515" s="35">
        <v>7423.2000000000007</v>
      </c>
      <c r="I515" s="35">
        <v>0</v>
      </c>
      <c r="J515" s="35">
        <v>0</v>
      </c>
      <c r="K515" s="35">
        <v>0</v>
      </c>
      <c r="L515" s="35">
        <v>0</v>
      </c>
      <c r="M515" s="35">
        <v>0</v>
      </c>
      <c r="N515" s="36">
        <v>7423.2000000000007</v>
      </c>
      <c r="O515" s="71">
        <v>9090.5620680000011</v>
      </c>
      <c r="P515" s="37">
        <f t="shared" ref="P515:P517" si="203">IF($P$9&gt;0,O515/$P$9/12,0)</f>
        <v>6.1230750000000007E-2</v>
      </c>
    </row>
    <row r="516" spans="2:16" x14ac:dyDescent="0.25">
      <c r="B516" s="30">
        <v>295</v>
      </c>
      <c r="C516" s="31"/>
      <c r="D516" s="32" t="s">
        <v>1088</v>
      </c>
      <c r="E516" s="32"/>
      <c r="F516" s="33"/>
      <c r="G516" s="62"/>
      <c r="H516" s="35">
        <v>262781.28000000003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6">
        <v>262781.28000000003</v>
      </c>
      <c r="O516" s="71">
        <v>321805.89720720012</v>
      </c>
      <c r="P516" s="37">
        <f t="shared" si="203"/>
        <v>2.1675685500000008</v>
      </c>
    </row>
    <row r="517" spans="2:16" x14ac:dyDescent="0.25">
      <c r="B517" s="30">
        <v>296</v>
      </c>
      <c r="C517" s="31"/>
      <c r="D517" s="32" t="s">
        <v>1089</v>
      </c>
      <c r="E517" s="32"/>
      <c r="F517" s="33"/>
      <c r="G517" s="62"/>
      <c r="H517" s="35">
        <v>47508.479999999996</v>
      </c>
      <c r="I517" s="35"/>
      <c r="J517" s="35"/>
      <c r="K517" s="35"/>
      <c r="L517" s="35"/>
      <c r="M517" s="35"/>
      <c r="N517" s="36">
        <v>47508.479999999996</v>
      </c>
      <c r="O517" s="71">
        <v>58179.597235200003</v>
      </c>
      <c r="P517" s="37">
        <f t="shared" si="203"/>
        <v>0.39187679999999997</v>
      </c>
    </row>
    <row r="518" spans="2:16" ht="28.5" x14ac:dyDescent="0.25">
      <c r="B518" s="43" t="s">
        <v>372</v>
      </c>
      <c r="C518" s="43"/>
      <c r="D518" s="43"/>
      <c r="E518" s="43"/>
      <c r="F518" s="43"/>
      <c r="G518" s="43"/>
      <c r="H518" s="44">
        <f t="shared" ref="H518:P518" si="204">SUM(H515:H517)</f>
        <v>317712.96000000002</v>
      </c>
      <c r="I518" s="44">
        <f t="shared" si="204"/>
        <v>0</v>
      </c>
      <c r="J518" s="44">
        <f t="shared" si="204"/>
        <v>0</v>
      </c>
      <c r="K518" s="44">
        <f t="shared" si="204"/>
        <v>0</v>
      </c>
      <c r="L518" s="44">
        <f t="shared" si="204"/>
        <v>0</v>
      </c>
      <c r="M518" s="44">
        <f t="shared" si="204"/>
        <v>0</v>
      </c>
      <c r="N518" s="44">
        <f t="shared" si="204"/>
        <v>317712.96000000002</v>
      </c>
      <c r="O518" s="44">
        <f t="shared" si="204"/>
        <v>389076.05651040014</v>
      </c>
      <c r="P518" s="45">
        <f t="shared" si="204"/>
        <v>2.6206761000000007</v>
      </c>
    </row>
    <row r="519" spans="2:16" x14ac:dyDescent="0.25">
      <c r="B519" s="63" t="s">
        <v>1090</v>
      </c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46"/>
      <c r="N519" s="46"/>
      <c r="O519" s="46"/>
      <c r="P519" s="47"/>
    </row>
    <row r="520" spans="2:16" x14ac:dyDescent="0.25">
      <c r="B520" s="27"/>
      <c r="C520" s="28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</row>
    <row r="521" spans="2:16" x14ac:dyDescent="0.25">
      <c r="B521" s="30">
        <v>297</v>
      </c>
      <c r="C521" s="31"/>
      <c r="D521" s="32" t="s">
        <v>1090</v>
      </c>
      <c r="E521" s="32"/>
      <c r="F521" s="33"/>
      <c r="G521" s="62"/>
      <c r="H521" s="35">
        <f>5.4*12*P9</f>
        <v>801705.60000000009</v>
      </c>
      <c r="I521" s="35">
        <f>F521 * G521 * 89375.08344</f>
        <v>0</v>
      </c>
      <c r="J521" s="35">
        <f>F521 * G521 * 0</f>
        <v>0</v>
      </c>
      <c r="K521" s="35">
        <f>F521 * G521 * 538.384453</f>
        <v>0</v>
      </c>
      <c r="L521" s="35">
        <f>F521 * G521 * 9500.294767</f>
        <v>0</v>
      </c>
      <c r="M521" s="35">
        <f>F521 * G521 * 113.105978</f>
        <v>0</v>
      </c>
      <c r="N521" s="36">
        <f>SUM(H521:M521)</f>
        <v>801705.60000000009</v>
      </c>
      <c r="O521" s="71">
        <f>N521*1.07*1.09*1.05</f>
        <v>981780.70334400039</v>
      </c>
      <c r="P521" s="37">
        <f>IF($P$9&gt;0,N521/$P$9/12,0)</f>
        <v>5.4000000000000012</v>
      </c>
    </row>
    <row r="522" spans="2:16" ht="30" thickTop="1" thickBot="1" x14ac:dyDescent="0.3">
      <c r="B522" s="43" t="s">
        <v>372</v>
      </c>
      <c r="C522" s="43"/>
      <c r="D522" s="43"/>
      <c r="E522" s="43"/>
      <c r="F522" s="43"/>
      <c r="G522" s="43"/>
      <c r="H522" s="44">
        <f t="shared" ref="H522:P522" si="205">SUM(H521)</f>
        <v>801705.60000000009</v>
      </c>
      <c r="I522" s="44">
        <f t="shared" si="205"/>
        <v>0</v>
      </c>
      <c r="J522" s="44">
        <f t="shared" si="205"/>
        <v>0</v>
      </c>
      <c r="K522" s="44">
        <f t="shared" si="205"/>
        <v>0</v>
      </c>
      <c r="L522" s="44">
        <f t="shared" si="205"/>
        <v>0</v>
      </c>
      <c r="M522" s="44">
        <f t="shared" si="205"/>
        <v>0</v>
      </c>
      <c r="N522" s="44">
        <f t="shared" si="205"/>
        <v>801705.60000000009</v>
      </c>
      <c r="O522" s="44">
        <f t="shared" si="205"/>
        <v>981780.70334400039</v>
      </c>
      <c r="P522" s="45">
        <f t="shared" si="205"/>
        <v>5.4000000000000012</v>
      </c>
    </row>
    <row r="523" spans="2:16" ht="16.5" thickTop="1" thickBot="1" x14ac:dyDescent="0.3">
      <c r="B523" s="64" t="s">
        <v>1091</v>
      </c>
      <c r="C523" s="65"/>
      <c r="D523" s="65"/>
      <c r="E523" s="66"/>
      <c r="F523" s="67"/>
      <c r="G523" s="68"/>
      <c r="H523" s="69">
        <f>SUM(H157+H193+H302+H385+H420+H428+H442+H452+H474+H495+H505+H512+H518+H522)</f>
        <v>3391462.7492056205</v>
      </c>
      <c r="I523" s="69">
        <f t="shared" ref="I523:P523" si="206">SUM(I157+I193+I302+I385+I420+I428+I442+I452+I474+I495+I505+I512+I518+I522)</f>
        <v>653157.20426063205</v>
      </c>
      <c r="J523" s="69">
        <f t="shared" si="206"/>
        <v>15324.821321599997</v>
      </c>
      <c r="K523" s="69">
        <f t="shared" si="206"/>
        <v>1534059.6299092995</v>
      </c>
      <c r="L523" s="69">
        <f t="shared" si="206"/>
        <v>400233.05168329988</v>
      </c>
      <c r="M523" s="69">
        <f t="shared" si="206"/>
        <v>322281.43521585001</v>
      </c>
      <c r="N523" s="69">
        <f t="shared" si="206"/>
        <v>7036014.8915963024</v>
      </c>
      <c r="O523" s="69">
        <f t="shared" si="206"/>
        <v>8616409.3764722049</v>
      </c>
      <c r="P523" s="69">
        <f t="shared" si="206"/>
        <v>57.226333557275431</v>
      </c>
    </row>
    <row r="526" spans="2:16" x14ac:dyDescent="0.25">
      <c r="C526" s="1" t="s">
        <v>1092</v>
      </c>
      <c r="D526" s="2" t="s">
        <v>1093</v>
      </c>
      <c r="E526" s="2"/>
      <c r="F526" s="3"/>
      <c r="G526" s="4"/>
      <c r="H526" s="4"/>
      <c r="I526" s="3" t="s">
        <v>1099</v>
      </c>
      <c r="J526" s="3"/>
    </row>
    <row r="527" spans="2:16" x14ac:dyDescent="0.25">
      <c r="C527" s="2"/>
      <c r="D527" s="2"/>
      <c r="E527" s="2"/>
      <c r="F527" s="3"/>
      <c r="G527" s="74" t="s">
        <v>1094</v>
      </c>
      <c r="H527" s="74"/>
      <c r="I527" s="3"/>
      <c r="J527" s="3"/>
    </row>
    <row r="528" spans="2:16" x14ac:dyDescent="0.25">
      <c r="C528" s="2"/>
      <c r="D528" s="2"/>
      <c r="E528" s="2"/>
      <c r="F528" s="3"/>
      <c r="G528" s="3"/>
      <c r="H528" s="3"/>
      <c r="I528" s="3"/>
      <c r="J528" s="3"/>
    </row>
    <row r="529" spans="3:10" x14ac:dyDescent="0.25">
      <c r="C529" s="2"/>
      <c r="D529" s="2"/>
      <c r="E529" s="2"/>
      <c r="F529" s="3"/>
      <c r="G529" s="3"/>
      <c r="H529" s="3"/>
      <c r="I529" s="3"/>
      <c r="J529" s="3"/>
    </row>
    <row r="530" spans="3:10" x14ac:dyDescent="0.25">
      <c r="C530" s="2"/>
      <c r="D530" s="2" t="s">
        <v>1095</v>
      </c>
      <c r="E530" s="2"/>
      <c r="F530" s="3"/>
      <c r="G530" s="4"/>
      <c r="H530" s="4"/>
      <c r="I530" s="3" t="s">
        <v>1096</v>
      </c>
      <c r="J530" s="3"/>
    </row>
    <row r="531" spans="3:10" x14ac:dyDescent="0.25">
      <c r="C531" s="2"/>
      <c r="D531" s="2"/>
      <c r="E531" s="2"/>
      <c r="F531" s="3"/>
      <c r="G531" s="74" t="s">
        <v>1094</v>
      </c>
      <c r="H531" s="74"/>
      <c r="I531" s="3"/>
      <c r="J531" s="3"/>
    </row>
    <row r="532" spans="3:10" x14ac:dyDescent="0.25">
      <c r="C532" s="2"/>
      <c r="D532" s="2"/>
      <c r="E532" s="2"/>
      <c r="F532" s="3"/>
      <c r="G532" s="3"/>
      <c r="H532" s="3"/>
      <c r="I532" s="3"/>
      <c r="J532" s="3"/>
    </row>
    <row r="533" spans="3:10" x14ac:dyDescent="0.25">
      <c r="C533" s="2"/>
      <c r="D533" s="2"/>
      <c r="E533" s="2"/>
      <c r="F533" s="3"/>
      <c r="G533" s="3"/>
      <c r="H533" s="3"/>
      <c r="I533" s="3"/>
      <c r="J533" s="3"/>
    </row>
    <row r="534" spans="3:10" x14ac:dyDescent="0.25">
      <c r="C534" s="2" t="s">
        <v>1097</v>
      </c>
      <c r="D534" s="2"/>
      <c r="E534" s="2"/>
      <c r="F534" s="3"/>
      <c r="G534" s="3"/>
      <c r="H534" s="3"/>
      <c r="I534" s="3"/>
      <c r="J534" s="3"/>
    </row>
    <row r="535" spans="3:10" x14ac:dyDescent="0.25">
      <c r="C535" s="5" t="s">
        <v>1100</v>
      </c>
      <c r="D535" s="2"/>
      <c r="E535" s="2"/>
      <c r="F535" s="3"/>
      <c r="G535" s="3"/>
      <c r="H535" s="3"/>
      <c r="I535" s="3"/>
      <c r="J535" s="3"/>
    </row>
  </sheetData>
  <mergeCells count="2">
    <mergeCell ref="G527:H527"/>
    <mergeCell ref="G531:H531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2022-11-03T06:17:31Z</cp:lastPrinted>
  <dcterms:created xsi:type="dcterms:W3CDTF">2022-11-03T06:16:00Z</dcterms:created>
  <dcterms:modified xsi:type="dcterms:W3CDTF">2026-03-04T08:11:06Z</dcterms:modified>
</cp:coreProperties>
</file>