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uk_avia\Obmen\Общий отдел\Сметы для общих собраний в ГИС ЖКХ\девятиэтажки\"/>
    </mc:Choice>
  </mc:AlternateContent>
  <xr:revisionPtr revIDLastSave="0" documentId="13_ncr:1_{7B3642F2-7745-4425-A465-99CBD574E676}" xr6:coauthVersionLast="3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Смета" sheetId="1" r:id="rId1"/>
  </sheets>
  <definedNames>
    <definedName name="_xlnm.Print_Titles" localSheetId="0">Смета!$7:$7</definedName>
  </definedNames>
  <calcPr calcId="1790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501" i="1" l="1"/>
  <c r="F332" i="1" l="1"/>
  <c r="H332" i="1" s="1"/>
  <c r="N332" i="1" s="1"/>
  <c r="O332" i="1" s="1"/>
  <c r="M501" i="1"/>
  <c r="M502" i="1" s="1"/>
  <c r="L501" i="1"/>
  <c r="L502" i="1" s="1"/>
  <c r="K501" i="1"/>
  <c r="K502" i="1" s="1"/>
  <c r="J501" i="1"/>
  <c r="J502" i="1" s="1"/>
  <c r="I501" i="1"/>
  <c r="I502" i="1" s="1"/>
  <c r="L497" i="1"/>
  <c r="N489" i="1"/>
  <c r="O489" i="1" s="1"/>
  <c r="P489" i="1" s="1"/>
  <c r="F488" i="1"/>
  <c r="L488" i="1" s="1"/>
  <c r="M487" i="1"/>
  <c r="L487" i="1"/>
  <c r="K487" i="1"/>
  <c r="J487" i="1"/>
  <c r="I487" i="1"/>
  <c r="H487" i="1"/>
  <c r="M486" i="1"/>
  <c r="L486" i="1"/>
  <c r="K486" i="1"/>
  <c r="J486" i="1"/>
  <c r="I486" i="1"/>
  <c r="H486" i="1"/>
  <c r="M485" i="1"/>
  <c r="L485" i="1"/>
  <c r="K485" i="1"/>
  <c r="J485" i="1"/>
  <c r="I485" i="1"/>
  <c r="H485" i="1"/>
  <c r="M484" i="1"/>
  <c r="L484" i="1"/>
  <c r="K484" i="1"/>
  <c r="J484" i="1"/>
  <c r="I484" i="1"/>
  <c r="H484" i="1"/>
  <c r="M483" i="1"/>
  <c r="L483" i="1"/>
  <c r="K483" i="1"/>
  <c r="J483" i="1"/>
  <c r="I483" i="1"/>
  <c r="H483" i="1"/>
  <c r="M482" i="1"/>
  <c r="L482" i="1"/>
  <c r="K482" i="1"/>
  <c r="J482" i="1"/>
  <c r="I482" i="1"/>
  <c r="H482" i="1"/>
  <c r="M481" i="1"/>
  <c r="L481" i="1"/>
  <c r="K481" i="1"/>
  <c r="J481" i="1"/>
  <c r="I481" i="1"/>
  <c r="H481" i="1"/>
  <c r="M480" i="1"/>
  <c r="L480" i="1"/>
  <c r="K480" i="1"/>
  <c r="J480" i="1"/>
  <c r="I480" i="1"/>
  <c r="H480" i="1"/>
  <c r="M476" i="1"/>
  <c r="L476" i="1"/>
  <c r="K476" i="1"/>
  <c r="J476" i="1"/>
  <c r="I476" i="1"/>
  <c r="H476" i="1"/>
  <c r="M475" i="1"/>
  <c r="L475" i="1"/>
  <c r="K475" i="1"/>
  <c r="J475" i="1"/>
  <c r="I475" i="1"/>
  <c r="H475" i="1"/>
  <c r="M474" i="1"/>
  <c r="L474" i="1"/>
  <c r="K474" i="1"/>
  <c r="J474" i="1"/>
  <c r="I474" i="1"/>
  <c r="H474" i="1"/>
  <c r="M473" i="1"/>
  <c r="L473" i="1"/>
  <c r="K473" i="1"/>
  <c r="J473" i="1"/>
  <c r="I473" i="1"/>
  <c r="H473" i="1"/>
  <c r="M472" i="1"/>
  <c r="L472" i="1"/>
  <c r="K472" i="1"/>
  <c r="J472" i="1"/>
  <c r="I472" i="1"/>
  <c r="H472" i="1"/>
  <c r="M471" i="1"/>
  <c r="L471" i="1"/>
  <c r="K471" i="1"/>
  <c r="J471" i="1"/>
  <c r="I471" i="1"/>
  <c r="H471" i="1"/>
  <c r="M470" i="1"/>
  <c r="L470" i="1"/>
  <c r="K470" i="1"/>
  <c r="J470" i="1"/>
  <c r="I470" i="1"/>
  <c r="H470" i="1"/>
  <c r="M469" i="1"/>
  <c r="L469" i="1"/>
  <c r="K469" i="1"/>
  <c r="J469" i="1"/>
  <c r="I469" i="1"/>
  <c r="H469" i="1"/>
  <c r="M468" i="1"/>
  <c r="L468" i="1"/>
  <c r="K468" i="1"/>
  <c r="J468" i="1"/>
  <c r="I468" i="1"/>
  <c r="H468" i="1"/>
  <c r="M467" i="1"/>
  <c r="L467" i="1"/>
  <c r="K467" i="1"/>
  <c r="J467" i="1"/>
  <c r="I467" i="1"/>
  <c r="H467" i="1"/>
  <c r="M466" i="1"/>
  <c r="L466" i="1"/>
  <c r="K466" i="1"/>
  <c r="J466" i="1"/>
  <c r="I466" i="1"/>
  <c r="H466" i="1"/>
  <c r="M462" i="1"/>
  <c r="L462" i="1"/>
  <c r="K462" i="1"/>
  <c r="J462" i="1"/>
  <c r="I462" i="1"/>
  <c r="H462" i="1"/>
  <c r="M461" i="1"/>
  <c r="L461" i="1"/>
  <c r="K461" i="1"/>
  <c r="J461" i="1"/>
  <c r="I461" i="1"/>
  <c r="H461" i="1"/>
  <c r="M460" i="1"/>
  <c r="L460" i="1"/>
  <c r="K460" i="1"/>
  <c r="J460" i="1"/>
  <c r="I460" i="1"/>
  <c r="H460" i="1"/>
  <c r="M456" i="1"/>
  <c r="L456" i="1"/>
  <c r="K456" i="1"/>
  <c r="J456" i="1"/>
  <c r="I456" i="1"/>
  <c r="H456" i="1"/>
  <c r="M455" i="1"/>
  <c r="L455" i="1"/>
  <c r="K455" i="1"/>
  <c r="J455" i="1"/>
  <c r="I455" i="1"/>
  <c r="H455" i="1"/>
  <c r="M451" i="1"/>
  <c r="L451" i="1"/>
  <c r="K451" i="1"/>
  <c r="J451" i="1"/>
  <c r="I451" i="1"/>
  <c r="H451" i="1"/>
  <c r="M450" i="1"/>
  <c r="L450" i="1"/>
  <c r="K450" i="1"/>
  <c r="J450" i="1"/>
  <c r="I450" i="1"/>
  <c r="H450" i="1"/>
  <c r="M449" i="1"/>
  <c r="L449" i="1"/>
  <c r="K449" i="1"/>
  <c r="J449" i="1"/>
  <c r="I449" i="1"/>
  <c r="H449" i="1"/>
  <c r="M448" i="1"/>
  <c r="L448" i="1"/>
  <c r="K448" i="1"/>
  <c r="J448" i="1"/>
  <c r="I448" i="1"/>
  <c r="H448" i="1"/>
  <c r="M445" i="1"/>
  <c r="L445" i="1"/>
  <c r="K445" i="1"/>
  <c r="J445" i="1"/>
  <c r="I445" i="1"/>
  <c r="H445" i="1"/>
  <c r="M444" i="1"/>
  <c r="L444" i="1"/>
  <c r="K444" i="1"/>
  <c r="J444" i="1"/>
  <c r="I444" i="1"/>
  <c r="H444" i="1"/>
  <c r="M443" i="1"/>
  <c r="L443" i="1"/>
  <c r="K443" i="1"/>
  <c r="J443" i="1"/>
  <c r="I443" i="1"/>
  <c r="H443" i="1"/>
  <c r="M442" i="1"/>
  <c r="L442" i="1"/>
  <c r="K442" i="1"/>
  <c r="J442" i="1"/>
  <c r="I442" i="1"/>
  <c r="H442" i="1"/>
  <c r="M441" i="1"/>
  <c r="L441" i="1"/>
  <c r="K441" i="1"/>
  <c r="J441" i="1"/>
  <c r="I441" i="1"/>
  <c r="H441" i="1"/>
  <c r="M440" i="1"/>
  <c r="L440" i="1"/>
  <c r="K440" i="1"/>
  <c r="J440" i="1"/>
  <c r="I440" i="1"/>
  <c r="H440" i="1"/>
  <c r="M439" i="1"/>
  <c r="L439" i="1"/>
  <c r="K439" i="1"/>
  <c r="J439" i="1"/>
  <c r="I439" i="1"/>
  <c r="H439" i="1"/>
  <c r="M437" i="1"/>
  <c r="L437" i="1"/>
  <c r="K437" i="1"/>
  <c r="J437" i="1"/>
  <c r="I437" i="1"/>
  <c r="H437" i="1"/>
  <c r="M436" i="1"/>
  <c r="L436" i="1"/>
  <c r="K436" i="1"/>
  <c r="J436" i="1"/>
  <c r="I436" i="1"/>
  <c r="H436" i="1"/>
  <c r="M434" i="1"/>
  <c r="L434" i="1"/>
  <c r="K434" i="1"/>
  <c r="J434" i="1"/>
  <c r="I434" i="1"/>
  <c r="H434" i="1"/>
  <c r="M432" i="1"/>
  <c r="L432" i="1"/>
  <c r="K432" i="1"/>
  <c r="J432" i="1"/>
  <c r="I432" i="1"/>
  <c r="H432" i="1"/>
  <c r="M430" i="1"/>
  <c r="L430" i="1"/>
  <c r="K430" i="1"/>
  <c r="J430" i="1"/>
  <c r="I430" i="1"/>
  <c r="H430" i="1"/>
  <c r="M429" i="1"/>
  <c r="L429" i="1"/>
  <c r="K429" i="1"/>
  <c r="J429" i="1"/>
  <c r="I429" i="1"/>
  <c r="H429" i="1"/>
  <c r="M428" i="1"/>
  <c r="L428" i="1"/>
  <c r="K428" i="1"/>
  <c r="J428" i="1"/>
  <c r="I428" i="1"/>
  <c r="H428" i="1"/>
  <c r="M427" i="1"/>
  <c r="L427" i="1"/>
  <c r="K427" i="1"/>
  <c r="J427" i="1"/>
  <c r="I427" i="1"/>
  <c r="H427" i="1"/>
  <c r="M426" i="1"/>
  <c r="L426" i="1"/>
  <c r="K426" i="1"/>
  <c r="J426" i="1"/>
  <c r="I426" i="1"/>
  <c r="H426" i="1"/>
  <c r="M423" i="1"/>
  <c r="L423" i="1"/>
  <c r="K423" i="1"/>
  <c r="J423" i="1"/>
  <c r="I423" i="1"/>
  <c r="H423" i="1"/>
  <c r="M422" i="1"/>
  <c r="L422" i="1"/>
  <c r="K422" i="1"/>
  <c r="J422" i="1"/>
  <c r="I422" i="1"/>
  <c r="H422" i="1"/>
  <c r="M421" i="1"/>
  <c r="L421" i="1"/>
  <c r="K421" i="1"/>
  <c r="J421" i="1"/>
  <c r="I421" i="1"/>
  <c r="H421" i="1"/>
  <c r="M415" i="1"/>
  <c r="L415" i="1"/>
  <c r="K415" i="1"/>
  <c r="J415" i="1"/>
  <c r="I415" i="1"/>
  <c r="H415" i="1"/>
  <c r="M414" i="1"/>
  <c r="L414" i="1"/>
  <c r="K414" i="1"/>
  <c r="J414" i="1"/>
  <c r="I414" i="1"/>
  <c r="H414" i="1"/>
  <c r="M413" i="1"/>
  <c r="L413" i="1"/>
  <c r="K413" i="1"/>
  <c r="J413" i="1"/>
  <c r="I413" i="1"/>
  <c r="H413" i="1"/>
  <c r="M412" i="1"/>
  <c r="L412" i="1"/>
  <c r="K412" i="1"/>
  <c r="J412" i="1"/>
  <c r="I412" i="1"/>
  <c r="H412" i="1"/>
  <c r="M410" i="1"/>
  <c r="L410" i="1"/>
  <c r="K410" i="1"/>
  <c r="J410" i="1"/>
  <c r="I410" i="1"/>
  <c r="H410" i="1"/>
  <c r="M409" i="1"/>
  <c r="L409" i="1"/>
  <c r="K409" i="1"/>
  <c r="J409" i="1"/>
  <c r="I409" i="1"/>
  <c r="H409" i="1"/>
  <c r="M408" i="1"/>
  <c r="L408" i="1"/>
  <c r="K408" i="1"/>
  <c r="J408" i="1"/>
  <c r="I408" i="1"/>
  <c r="H408" i="1"/>
  <c r="M405" i="1"/>
  <c r="L405" i="1"/>
  <c r="K405" i="1"/>
  <c r="J405" i="1"/>
  <c r="I405" i="1"/>
  <c r="H405" i="1"/>
  <c r="M404" i="1"/>
  <c r="L404" i="1"/>
  <c r="K404" i="1"/>
  <c r="J404" i="1"/>
  <c r="I404" i="1"/>
  <c r="H404" i="1"/>
  <c r="M402" i="1"/>
  <c r="L402" i="1"/>
  <c r="K402" i="1"/>
  <c r="J402" i="1"/>
  <c r="I402" i="1"/>
  <c r="H402" i="1"/>
  <c r="M401" i="1"/>
  <c r="L401" i="1"/>
  <c r="K401" i="1"/>
  <c r="J401" i="1"/>
  <c r="I401" i="1"/>
  <c r="H401" i="1"/>
  <c r="M400" i="1"/>
  <c r="L400" i="1"/>
  <c r="K400" i="1"/>
  <c r="J400" i="1"/>
  <c r="I400" i="1"/>
  <c r="H400" i="1"/>
  <c r="M399" i="1"/>
  <c r="L399" i="1"/>
  <c r="K399" i="1"/>
  <c r="J399" i="1"/>
  <c r="I399" i="1"/>
  <c r="H399" i="1"/>
  <c r="M398" i="1"/>
  <c r="L398" i="1"/>
  <c r="K398" i="1"/>
  <c r="J398" i="1"/>
  <c r="I398" i="1"/>
  <c r="H398" i="1"/>
  <c r="M397" i="1"/>
  <c r="L397" i="1"/>
  <c r="K397" i="1"/>
  <c r="J397" i="1"/>
  <c r="I397" i="1"/>
  <c r="H397" i="1"/>
  <c r="M396" i="1"/>
  <c r="L396" i="1"/>
  <c r="K396" i="1"/>
  <c r="J396" i="1"/>
  <c r="I396" i="1"/>
  <c r="H396" i="1"/>
  <c r="M394" i="1"/>
  <c r="L394" i="1"/>
  <c r="K394" i="1"/>
  <c r="J394" i="1"/>
  <c r="I394" i="1"/>
  <c r="H394" i="1"/>
  <c r="M390" i="1"/>
  <c r="L390" i="1"/>
  <c r="K390" i="1"/>
  <c r="J390" i="1"/>
  <c r="I390" i="1"/>
  <c r="H390" i="1"/>
  <c r="M389" i="1"/>
  <c r="L389" i="1"/>
  <c r="K389" i="1"/>
  <c r="J389" i="1"/>
  <c r="I389" i="1"/>
  <c r="H389" i="1"/>
  <c r="M388" i="1"/>
  <c r="L388" i="1"/>
  <c r="K388" i="1"/>
  <c r="J388" i="1"/>
  <c r="I388" i="1"/>
  <c r="H388" i="1"/>
  <c r="M386" i="1"/>
  <c r="L386" i="1"/>
  <c r="K386" i="1"/>
  <c r="J386" i="1"/>
  <c r="I386" i="1"/>
  <c r="H386" i="1"/>
  <c r="M385" i="1"/>
  <c r="L385" i="1"/>
  <c r="K385" i="1"/>
  <c r="J385" i="1"/>
  <c r="I385" i="1"/>
  <c r="H385" i="1"/>
  <c r="M382" i="1"/>
  <c r="L382" i="1"/>
  <c r="K382" i="1"/>
  <c r="J382" i="1"/>
  <c r="I382" i="1"/>
  <c r="H382" i="1"/>
  <c r="M380" i="1"/>
  <c r="L380" i="1"/>
  <c r="K380" i="1"/>
  <c r="J380" i="1"/>
  <c r="I380" i="1"/>
  <c r="H380" i="1"/>
  <c r="M378" i="1"/>
  <c r="L378" i="1"/>
  <c r="K378" i="1"/>
  <c r="J378" i="1"/>
  <c r="I378" i="1"/>
  <c r="H378" i="1"/>
  <c r="M376" i="1"/>
  <c r="L376" i="1"/>
  <c r="K376" i="1"/>
  <c r="J376" i="1"/>
  <c r="I376" i="1"/>
  <c r="H376" i="1"/>
  <c r="M375" i="1"/>
  <c r="L375" i="1"/>
  <c r="K375" i="1"/>
  <c r="J375" i="1"/>
  <c r="I375" i="1"/>
  <c r="H375" i="1"/>
  <c r="M374" i="1"/>
  <c r="L374" i="1"/>
  <c r="K374" i="1"/>
  <c r="J374" i="1"/>
  <c r="I374" i="1"/>
  <c r="H374" i="1"/>
  <c r="M372" i="1"/>
  <c r="L372" i="1"/>
  <c r="K372" i="1"/>
  <c r="J372" i="1"/>
  <c r="I372" i="1"/>
  <c r="H372" i="1"/>
  <c r="M371" i="1"/>
  <c r="L371" i="1"/>
  <c r="K371" i="1"/>
  <c r="J371" i="1"/>
  <c r="I371" i="1"/>
  <c r="H371" i="1"/>
  <c r="M370" i="1"/>
  <c r="L370" i="1"/>
  <c r="K370" i="1"/>
  <c r="J370" i="1"/>
  <c r="I370" i="1"/>
  <c r="H370" i="1"/>
  <c r="M368" i="1"/>
  <c r="L368" i="1"/>
  <c r="K368" i="1"/>
  <c r="J368" i="1"/>
  <c r="I368" i="1"/>
  <c r="H368" i="1"/>
  <c r="M366" i="1"/>
  <c r="L366" i="1"/>
  <c r="K366" i="1"/>
  <c r="J366" i="1"/>
  <c r="I366" i="1"/>
  <c r="H366" i="1"/>
  <c r="M365" i="1"/>
  <c r="L365" i="1"/>
  <c r="K365" i="1"/>
  <c r="J365" i="1"/>
  <c r="I365" i="1"/>
  <c r="H365" i="1"/>
  <c r="M363" i="1"/>
  <c r="L363" i="1"/>
  <c r="K363" i="1"/>
  <c r="J363" i="1"/>
  <c r="I363" i="1"/>
  <c r="H363" i="1"/>
  <c r="M361" i="1"/>
  <c r="L361" i="1"/>
  <c r="K361" i="1"/>
  <c r="J361" i="1"/>
  <c r="I361" i="1"/>
  <c r="H361" i="1"/>
  <c r="M358" i="1"/>
  <c r="L358" i="1"/>
  <c r="K358" i="1"/>
  <c r="J358" i="1"/>
  <c r="I358" i="1"/>
  <c r="H358" i="1"/>
  <c r="M357" i="1"/>
  <c r="L357" i="1"/>
  <c r="K357" i="1"/>
  <c r="J357" i="1"/>
  <c r="I357" i="1"/>
  <c r="H357" i="1"/>
  <c r="M355" i="1"/>
  <c r="L355" i="1"/>
  <c r="K355" i="1"/>
  <c r="J355" i="1"/>
  <c r="I355" i="1"/>
  <c r="H355" i="1"/>
  <c r="M354" i="1"/>
  <c r="L354" i="1"/>
  <c r="K354" i="1"/>
  <c r="J354" i="1"/>
  <c r="I354" i="1"/>
  <c r="H354" i="1"/>
  <c r="M352" i="1"/>
  <c r="L352" i="1"/>
  <c r="K352" i="1"/>
  <c r="J352" i="1"/>
  <c r="I352" i="1"/>
  <c r="H352" i="1"/>
  <c r="M351" i="1"/>
  <c r="L351" i="1"/>
  <c r="K351" i="1"/>
  <c r="J351" i="1"/>
  <c r="I351" i="1"/>
  <c r="H351" i="1"/>
  <c r="M350" i="1"/>
  <c r="L350" i="1"/>
  <c r="K350" i="1"/>
  <c r="J350" i="1"/>
  <c r="I350" i="1"/>
  <c r="H350" i="1"/>
  <c r="M347" i="1"/>
  <c r="L347" i="1"/>
  <c r="K347" i="1"/>
  <c r="J347" i="1"/>
  <c r="I347" i="1"/>
  <c r="H347" i="1"/>
  <c r="M346" i="1"/>
  <c r="L346" i="1"/>
  <c r="K346" i="1"/>
  <c r="J346" i="1"/>
  <c r="I346" i="1"/>
  <c r="H346" i="1"/>
  <c r="M345" i="1"/>
  <c r="L345" i="1"/>
  <c r="K345" i="1"/>
  <c r="J345" i="1"/>
  <c r="I345" i="1"/>
  <c r="H345" i="1"/>
  <c r="M343" i="1"/>
  <c r="L343" i="1"/>
  <c r="K343" i="1"/>
  <c r="J343" i="1"/>
  <c r="I343" i="1"/>
  <c r="H343" i="1"/>
  <c r="M342" i="1"/>
  <c r="L342" i="1"/>
  <c r="K342" i="1"/>
  <c r="J342" i="1"/>
  <c r="I342" i="1"/>
  <c r="H342" i="1"/>
  <c r="M341" i="1"/>
  <c r="L341" i="1"/>
  <c r="K341" i="1"/>
  <c r="J341" i="1"/>
  <c r="I341" i="1"/>
  <c r="H341" i="1"/>
  <c r="M340" i="1"/>
  <c r="L340" i="1"/>
  <c r="K340" i="1"/>
  <c r="J340" i="1"/>
  <c r="I340" i="1"/>
  <c r="H340" i="1"/>
  <c r="M339" i="1"/>
  <c r="L339" i="1"/>
  <c r="K339" i="1"/>
  <c r="J339" i="1"/>
  <c r="I339" i="1"/>
  <c r="H339" i="1"/>
  <c r="M330" i="1"/>
  <c r="L330" i="1"/>
  <c r="K330" i="1"/>
  <c r="J330" i="1"/>
  <c r="I330" i="1"/>
  <c r="H330" i="1"/>
  <c r="M329" i="1"/>
  <c r="L329" i="1"/>
  <c r="K329" i="1"/>
  <c r="J329" i="1"/>
  <c r="I329" i="1"/>
  <c r="H329" i="1"/>
  <c r="M328" i="1"/>
  <c r="L328" i="1"/>
  <c r="K328" i="1"/>
  <c r="J328" i="1"/>
  <c r="I328" i="1"/>
  <c r="H328" i="1"/>
  <c r="M327" i="1"/>
  <c r="L327" i="1"/>
  <c r="K327" i="1"/>
  <c r="J327" i="1"/>
  <c r="I327" i="1"/>
  <c r="H327" i="1"/>
  <c r="M326" i="1"/>
  <c r="L326" i="1"/>
  <c r="K326" i="1"/>
  <c r="J326" i="1"/>
  <c r="I326" i="1"/>
  <c r="H326" i="1"/>
  <c r="M323" i="1"/>
  <c r="L323" i="1"/>
  <c r="K323" i="1"/>
  <c r="J323" i="1"/>
  <c r="I323" i="1"/>
  <c r="H323" i="1"/>
  <c r="M321" i="1"/>
  <c r="L321" i="1"/>
  <c r="K321" i="1"/>
  <c r="J321" i="1"/>
  <c r="I321" i="1"/>
  <c r="H321" i="1"/>
  <c r="M320" i="1"/>
  <c r="L320" i="1"/>
  <c r="K320" i="1"/>
  <c r="J320" i="1"/>
  <c r="I320" i="1"/>
  <c r="H320" i="1"/>
  <c r="M319" i="1"/>
  <c r="L319" i="1"/>
  <c r="K319" i="1"/>
  <c r="J319" i="1"/>
  <c r="I319" i="1"/>
  <c r="H319" i="1"/>
  <c r="M318" i="1"/>
  <c r="L318" i="1"/>
  <c r="K318" i="1"/>
  <c r="J318" i="1"/>
  <c r="I318" i="1"/>
  <c r="H318" i="1"/>
  <c r="M317" i="1"/>
  <c r="L317" i="1"/>
  <c r="K317" i="1"/>
  <c r="J317" i="1"/>
  <c r="I317" i="1"/>
  <c r="H317" i="1"/>
  <c r="M315" i="1"/>
  <c r="L315" i="1"/>
  <c r="K315" i="1"/>
  <c r="J315" i="1"/>
  <c r="I315" i="1"/>
  <c r="H315" i="1"/>
  <c r="M314" i="1"/>
  <c r="L314" i="1"/>
  <c r="K314" i="1"/>
  <c r="J314" i="1"/>
  <c r="I314" i="1"/>
  <c r="H314" i="1"/>
  <c r="M313" i="1"/>
  <c r="L313" i="1"/>
  <c r="K313" i="1"/>
  <c r="J313" i="1"/>
  <c r="I313" i="1"/>
  <c r="H313" i="1"/>
  <c r="M311" i="1"/>
  <c r="L311" i="1"/>
  <c r="K311" i="1"/>
  <c r="J311" i="1"/>
  <c r="I311" i="1"/>
  <c r="H311" i="1"/>
  <c r="M308" i="1"/>
  <c r="L308" i="1"/>
  <c r="K308" i="1"/>
  <c r="J308" i="1"/>
  <c r="I308" i="1"/>
  <c r="H308" i="1"/>
  <c r="M307" i="1"/>
  <c r="L307" i="1"/>
  <c r="K307" i="1"/>
  <c r="J307" i="1"/>
  <c r="I307" i="1"/>
  <c r="H307" i="1"/>
  <c r="M306" i="1"/>
  <c r="L306" i="1"/>
  <c r="K306" i="1"/>
  <c r="J306" i="1"/>
  <c r="I306" i="1"/>
  <c r="H306" i="1"/>
  <c r="M304" i="1"/>
  <c r="L304" i="1"/>
  <c r="K304" i="1"/>
  <c r="J304" i="1"/>
  <c r="I304" i="1"/>
  <c r="H304" i="1"/>
  <c r="M302" i="1"/>
  <c r="L302" i="1"/>
  <c r="K302" i="1"/>
  <c r="J302" i="1"/>
  <c r="I302" i="1"/>
  <c r="H302" i="1"/>
  <c r="M300" i="1"/>
  <c r="L300" i="1"/>
  <c r="K300" i="1"/>
  <c r="J300" i="1"/>
  <c r="I300" i="1"/>
  <c r="H300" i="1"/>
  <c r="M299" i="1"/>
  <c r="L299" i="1"/>
  <c r="K299" i="1"/>
  <c r="J299" i="1"/>
  <c r="I299" i="1"/>
  <c r="H299" i="1"/>
  <c r="M296" i="1"/>
  <c r="L296" i="1"/>
  <c r="K296" i="1"/>
  <c r="J296" i="1"/>
  <c r="I296" i="1"/>
  <c r="H296" i="1"/>
  <c r="M294" i="1"/>
  <c r="L294" i="1"/>
  <c r="K294" i="1"/>
  <c r="J294" i="1"/>
  <c r="I294" i="1"/>
  <c r="H294" i="1"/>
  <c r="M291" i="1"/>
  <c r="L291" i="1"/>
  <c r="K291" i="1"/>
  <c r="J291" i="1"/>
  <c r="I291" i="1"/>
  <c r="H291" i="1"/>
  <c r="M290" i="1"/>
  <c r="L290" i="1"/>
  <c r="K290" i="1"/>
  <c r="J290" i="1"/>
  <c r="I290" i="1"/>
  <c r="H290" i="1"/>
  <c r="M289" i="1"/>
  <c r="L289" i="1"/>
  <c r="K289" i="1"/>
  <c r="J289" i="1"/>
  <c r="I289" i="1"/>
  <c r="H289" i="1"/>
  <c r="M288" i="1"/>
  <c r="L288" i="1"/>
  <c r="K288" i="1"/>
  <c r="J288" i="1"/>
  <c r="I288" i="1"/>
  <c r="H288" i="1"/>
  <c r="M287" i="1"/>
  <c r="L287" i="1"/>
  <c r="K287" i="1"/>
  <c r="J287" i="1"/>
  <c r="I287" i="1"/>
  <c r="H287" i="1"/>
  <c r="M286" i="1"/>
  <c r="L286" i="1"/>
  <c r="K286" i="1"/>
  <c r="J286" i="1"/>
  <c r="I286" i="1"/>
  <c r="H286" i="1"/>
  <c r="M285" i="1"/>
  <c r="L285" i="1"/>
  <c r="K285" i="1"/>
  <c r="J285" i="1"/>
  <c r="I285" i="1"/>
  <c r="H285" i="1"/>
  <c r="M283" i="1"/>
  <c r="L283" i="1"/>
  <c r="K283" i="1"/>
  <c r="J283" i="1"/>
  <c r="I283" i="1"/>
  <c r="H283" i="1"/>
  <c r="M282" i="1"/>
  <c r="L282" i="1"/>
  <c r="K282" i="1"/>
  <c r="J282" i="1"/>
  <c r="I282" i="1"/>
  <c r="H282" i="1"/>
  <c r="M281" i="1"/>
  <c r="L281" i="1"/>
  <c r="K281" i="1"/>
  <c r="J281" i="1"/>
  <c r="I281" i="1"/>
  <c r="H281" i="1"/>
  <c r="M280" i="1"/>
  <c r="L280" i="1"/>
  <c r="K280" i="1"/>
  <c r="J280" i="1"/>
  <c r="I280" i="1"/>
  <c r="H280" i="1"/>
  <c r="M279" i="1"/>
  <c r="L279" i="1"/>
  <c r="K279" i="1"/>
  <c r="J279" i="1"/>
  <c r="I279" i="1"/>
  <c r="H279" i="1"/>
  <c r="M278" i="1"/>
  <c r="L278" i="1"/>
  <c r="K278" i="1"/>
  <c r="J278" i="1"/>
  <c r="I278" i="1"/>
  <c r="H278" i="1"/>
  <c r="M277" i="1"/>
  <c r="L277" i="1"/>
  <c r="K277" i="1"/>
  <c r="J277" i="1"/>
  <c r="I277" i="1"/>
  <c r="H277" i="1"/>
  <c r="M276" i="1"/>
  <c r="L276" i="1"/>
  <c r="K276" i="1"/>
  <c r="J276" i="1"/>
  <c r="I276" i="1"/>
  <c r="H276" i="1"/>
  <c r="M273" i="1"/>
  <c r="L273" i="1"/>
  <c r="K273" i="1"/>
  <c r="J273" i="1"/>
  <c r="I273" i="1"/>
  <c r="H273" i="1"/>
  <c r="M271" i="1"/>
  <c r="L271" i="1"/>
  <c r="K271" i="1"/>
  <c r="J271" i="1"/>
  <c r="I271" i="1"/>
  <c r="H271" i="1"/>
  <c r="M270" i="1"/>
  <c r="L270" i="1"/>
  <c r="K270" i="1"/>
  <c r="J270" i="1"/>
  <c r="I270" i="1"/>
  <c r="H270" i="1"/>
  <c r="M269" i="1"/>
  <c r="L269" i="1"/>
  <c r="K269" i="1"/>
  <c r="J269" i="1"/>
  <c r="I269" i="1"/>
  <c r="H269" i="1"/>
  <c r="M267" i="1"/>
  <c r="L267" i="1"/>
  <c r="K267" i="1"/>
  <c r="J267" i="1"/>
  <c r="I267" i="1"/>
  <c r="H267" i="1"/>
  <c r="M266" i="1"/>
  <c r="L266" i="1"/>
  <c r="K266" i="1"/>
  <c r="J266" i="1"/>
  <c r="I266" i="1"/>
  <c r="H266" i="1"/>
  <c r="M264" i="1"/>
  <c r="L264" i="1"/>
  <c r="K264" i="1"/>
  <c r="J264" i="1"/>
  <c r="I264" i="1"/>
  <c r="H264" i="1"/>
  <c r="M263" i="1"/>
  <c r="L263" i="1"/>
  <c r="K263" i="1"/>
  <c r="J263" i="1"/>
  <c r="I263" i="1"/>
  <c r="H263" i="1"/>
  <c r="M261" i="1"/>
  <c r="L261" i="1"/>
  <c r="K261" i="1"/>
  <c r="J261" i="1"/>
  <c r="I261" i="1"/>
  <c r="H261" i="1"/>
  <c r="M260" i="1"/>
  <c r="L260" i="1"/>
  <c r="K260" i="1"/>
  <c r="J260" i="1"/>
  <c r="I260" i="1"/>
  <c r="H260" i="1"/>
  <c r="M258" i="1"/>
  <c r="L258" i="1"/>
  <c r="K258" i="1"/>
  <c r="J258" i="1"/>
  <c r="I258" i="1"/>
  <c r="H258" i="1"/>
  <c r="M256" i="1"/>
  <c r="L256" i="1"/>
  <c r="K256" i="1"/>
  <c r="J256" i="1"/>
  <c r="I256" i="1"/>
  <c r="H256" i="1"/>
  <c r="M255" i="1"/>
  <c r="L255" i="1"/>
  <c r="K255" i="1"/>
  <c r="J255" i="1"/>
  <c r="I255" i="1"/>
  <c r="H255" i="1"/>
  <c r="M254" i="1"/>
  <c r="L254" i="1"/>
  <c r="K254" i="1"/>
  <c r="J254" i="1"/>
  <c r="I254" i="1"/>
  <c r="H254" i="1"/>
  <c r="M252" i="1"/>
  <c r="L252" i="1"/>
  <c r="K252" i="1"/>
  <c r="J252" i="1"/>
  <c r="I252" i="1"/>
  <c r="H252" i="1"/>
  <c r="M251" i="1"/>
  <c r="L251" i="1"/>
  <c r="K251" i="1"/>
  <c r="J251" i="1"/>
  <c r="I251" i="1"/>
  <c r="H251" i="1"/>
  <c r="M248" i="1"/>
  <c r="L248" i="1"/>
  <c r="K248" i="1"/>
  <c r="J248" i="1"/>
  <c r="I248" i="1"/>
  <c r="H248" i="1"/>
  <c r="M244" i="1"/>
  <c r="L244" i="1"/>
  <c r="K244" i="1"/>
  <c r="J244" i="1"/>
  <c r="I244" i="1"/>
  <c r="H244" i="1"/>
  <c r="M242" i="1"/>
  <c r="L242" i="1"/>
  <c r="K242" i="1"/>
  <c r="J242" i="1"/>
  <c r="I242" i="1"/>
  <c r="H242" i="1"/>
  <c r="M240" i="1"/>
  <c r="L240" i="1"/>
  <c r="K240" i="1"/>
  <c r="J240" i="1"/>
  <c r="I240" i="1"/>
  <c r="H240" i="1"/>
  <c r="M239" i="1"/>
  <c r="L239" i="1"/>
  <c r="K239" i="1"/>
  <c r="J239" i="1"/>
  <c r="I239" i="1"/>
  <c r="H239" i="1"/>
  <c r="M236" i="1"/>
  <c r="L236" i="1"/>
  <c r="K236" i="1"/>
  <c r="J236" i="1"/>
  <c r="I236" i="1"/>
  <c r="H236" i="1"/>
  <c r="M235" i="1"/>
  <c r="L235" i="1"/>
  <c r="K235" i="1"/>
  <c r="J235" i="1"/>
  <c r="I235" i="1"/>
  <c r="H235" i="1"/>
  <c r="M233" i="1"/>
  <c r="L233" i="1"/>
  <c r="K233" i="1"/>
  <c r="J233" i="1"/>
  <c r="I233" i="1"/>
  <c r="H233" i="1"/>
  <c r="M230" i="1"/>
  <c r="L230" i="1"/>
  <c r="K230" i="1"/>
  <c r="J230" i="1"/>
  <c r="I230" i="1"/>
  <c r="H230" i="1"/>
  <c r="M227" i="1"/>
  <c r="L227" i="1"/>
  <c r="K227" i="1"/>
  <c r="J227" i="1"/>
  <c r="I227" i="1"/>
  <c r="H227" i="1"/>
  <c r="M223" i="1"/>
  <c r="L223" i="1"/>
  <c r="K223" i="1"/>
  <c r="J223" i="1"/>
  <c r="I223" i="1"/>
  <c r="H223" i="1"/>
  <c r="M222" i="1"/>
  <c r="L222" i="1"/>
  <c r="K222" i="1"/>
  <c r="J222" i="1"/>
  <c r="I222" i="1"/>
  <c r="H222" i="1"/>
  <c r="M221" i="1"/>
  <c r="L221" i="1"/>
  <c r="K221" i="1"/>
  <c r="J221" i="1"/>
  <c r="I221" i="1"/>
  <c r="H221" i="1"/>
  <c r="M220" i="1"/>
  <c r="L220" i="1"/>
  <c r="K220" i="1"/>
  <c r="J220" i="1"/>
  <c r="I220" i="1"/>
  <c r="H220" i="1"/>
  <c r="M219" i="1"/>
  <c r="L219" i="1"/>
  <c r="K219" i="1"/>
  <c r="J219" i="1"/>
  <c r="I219" i="1"/>
  <c r="H219" i="1"/>
  <c r="M217" i="1"/>
  <c r="L217" i="1"/>
  <c r="K217" i="1"/>
  <c r="J217" i="1"/>
  <c r="I217" i="1"/>
  <c r="H217" i="1"/>
  <c r="M214" i="1"/>
  <c r="L214" i="1"/>
  <c r="K214" i="1"/>
  <c r="J214" i="1"/>
  <c r="I214" i="1"/>
  <c r="H214" i="1"/>
  <c r="M211" i="1"/>
  <c r="L211" i="1"/>
  <c r="K211" i="1"/>
  <c r="J211" i="1"/>
  <c r="I211" i="1"/>
  <c r="H211" i="1"/>
  <c r="M210" i="1"/>
  <c r="L210" i="1"/>
  <c r="K210" i="1"/>
  <c r="J210" i="1"/>
  <c r="I210" i="1"/>
  <c r="H210" i="1"/>
  <c r="M207" i="1"/>
  <c r="L207" i="1"/>
  <c r="K207" i="1"/>
  <c r="J207" i="1"/>
  <c r="I207" i="1"/>
  <c r="H207" i="1"/>
  <c r="M205" i="1"/>
  <c r="L205" i="1"/>
  <c r="K205" i="1"/>
  <c r="J205" i="1"/>
  <c r="I205" i="1"/>
  <c r="H205" i="1"/>
  <c r="M204" i="1"/>
  <c r="L204" i="1"/>
  <c r="K204" i="1"/>
  <c r="J204" i="1"/>
  <c r="I204" i="1"/>
  <c r="H204" i="1"/>
  <c r="M202" i="1"/>
  <c r="L202" i="1"/>
  <c r="K202" i="1"/>
  <c r="J202" i="1"/>
  <c r="I202" i="1"/>
  <c r="H202" i="1"/>
  <c r="M200" i="1"/>
  <c r="L200" i="1"/>
  <c r="K200" i="1"/>
  <c r="J200" i="1"/>
  <c r="I200" i="1"/>
  <c r="H200" i="1"/>
  <c r="M199" i="1"/>
  <c r="L199" i="1"/>
  <c r="K199" i="1"/>
  <c r="J199" i="1"/>
  <c r="I199" i="1"/>
  <c r="H199" i="1"/>
  <c r="M197" i="1"/>
  <c r="L197" i="1"/>
  <c r="K197" i="1"/>
  <c r="J197" i="1"/>
  <c r="I197" i="1"/>
  <c r="H197" i="1"/>
  <c r="M193" i="1"/>
  <c r="L193" i="1"/>
  <c r="K193" i="1"/>
  <c r="J193" i="1"/>
  <c r="I193" i="1"/>
  <c r="H193" i="1"/>
  <c r="M192" i="1"/>
  <c r="L192" i="1"/>
  <c r="K192" i="1"/>
  <c r="J192" i="1"/>
  <c r="I192" i="1"/>
  <c r="H192" i="1"/>
  <c r="M191" i="1"/>
  <c r="L191" i="1"/>
  <c r="K191" i="1"/>
  <c r="J191" i="1"/>
  <c r="I191" i="1"/>
  <c r="H191" i="1"/>
  <c r="M190" i="1"/>
  <c r="L190" i="1"/>
  <c r="K190" i="1"/>
  <c r="J190" i="1"/>
  <c r="I190" i="1"/>
  <c r="H190" i="1"/>
  <c r="M189" i="1"/>
  <c r="L189" i="1"/>
  <c r="K189" i="1"/>
  <c r="J189" i="1"/>
  <c r="I189" i="1"/>
  <c r="H189" i="1"/>
  <c r="M188" i="1"/>
  <c r="L188" i="1"/>
  <c r="K188" i="1"/>
  <c r="J188" i="1"/>
  <c r="I188" i="1"/>
  <c r="H188" i="1"/>
  <c r="M183" i="1"/>
  <c r="L183" i="1"/>
  <c r="K183" i="1"/>
  <c r="J183" i="1"/>
  <c r="I183" i="1"/>
  <c r="H183" i="1"/>
  <c r="M181" i="1"/>
  <c r="L181" i="1"/>
  <c r="K181" i="1"/>
  <c r="J181" i="1"/>
  <c r="I181" i="1"/>
  <c r="H181" i="1"/>
  <c r="M180" i="1"/>
  <c r="L180" i="1"/>
  <c r="K180" i="1"/>
  <c r="J180" i="1"/>
  <c r="I180" i="1"/>
  <c r="H180" i="1"/>
  <c r="M173" i="1"/>
  <c r="L173" i="1"/>
  <c r="K173" i="1"/>
  <c r="J173" i="1"/>
  <c r="I173" i="1"/>
  <c r="H173" i="1"/>
  <c r="M172" i="1"/>
  <c r="L172" i="1"/>
  <c r="K172" i="1"/>
  <c r="J172" i="1"/>
  <c r="I172" i="1"/>
  <c r="H172" i="1"/>
  <c r="M169" i="1"/>
  <c r="L169" i="1"/>
  <c r="K169" i="1"/>
  <c r="J169" i="1"/>
  <c r="I169" i="1"/>
  <c r="H169" i="1"/>
  <c r="M166" i="1"/>
  <c r="L166" i="1"/>
  <c r="K166" i="1"/>
  <c r="J166" i="1"/>
  <c r="I166" i="1"/>
  <c r="H166" i="1"/>
  <c r="J159" i="1"/>
  <c r="I159" i="1"/>
  <c r="H159" i="1"/>
  <c r="M158" i="1"/>
  <c r="L158" i="1"/>
  <c r="K158" i="1"/>
  <c r="J158" i="1"/>
  <c r="I158" i="1"/>
  <c r="H158" i="1"/>
  <c r="M157" i="1"/>
  <c r="L157" i="1"/>
  <c r="K157" i="1"/>
  <c r="J157" i="1"/>
  <c r="I157" i="1"/>
  <c r="H157" i="1"/>
  <c r="M156" i="1"/>
  <c r="L156" i="1"/>
  <c r="K156" i="1"/>
  <c r="J156" i="1"/>
  <c r="I156" i="1"/>
  <c r="H156" i="1"/>
  <c r="M155" i="1"/>
  <c r="L155" i="1"/>
  <c r="K155" i="1"/>
  <c r="J155" i="1"/>
  <c r="I155" i="1"/>
  <c r="H155" i="1"/>
  <c r="M154" i="1"/>
  <c r="L154" i="1"/>
  <c r="K154" i="1"/>
  <c r="J154" i="1"/>
  <c r="I154" i="1"/>
  <c r="H154" i="1"/>
  <c r="M153" i="1"/>
  <c r="L153" i="1"/>
  <c r="K153" i="1"/>
  <c r="J153" i="1"/>
  <c r="I153" i="1"/>
  <c r="H153" i="1"/>
  <c r="M152" i="1"/>
  <c r="L152" i="1"/>
  <c r="K152" i="1"/>
  <c r="J152" i="1"/>
  <c r="I152" i="1"/>
  <c r="H152" i="1"/>
  <c r="M151" i="1"/>
  <c r="L151" i="1"/>
  <c r="K151" i="1"/>
  <c r="J151" i="1"/>
  <c r="I151" i="1"/>
  <c r="H151" i="1"/>
  <c r="M149" i="1"/>
  <c r="L149" i="1"/>
  <c r="K149" i="1"/>
  <c r="J149" i="1"/>
  <c r="I149" i="1"/>
  <c r="H149" i="1"/>
  <c r="M148" i="1"/>
  <c r="L148" i="1"/>
  <c r="K148" i="1"/>
  <c r="J148" i="1"/>
  <c r="I148" i="1"/>
  <c r="H148" i="1"/>
  <c r="M147" i="1"/>
  <c r="L147" i="1"/>
  <c r="K147" i="1"/>
  <c r="J147" i="1"/>
  <c r="I147" i="1"/>
  <c r="H147" i="1"/>
  <c r="M146" i="1"/>
  <c r="L146" i="1"/>
  <c r="K146" i="1"/>
  <c r="J146" i="1"/>
  <c r="I146" i="1"/>
  <c r="H146" i="1"/>
  <c r="M144" i="1"/>
  <c r="L144" i="1"/>
  <c r="K144" i="1"/>
  <c r="J144" i="1"/>
  <c r="I144" i="1"/>
  <c r="H144" i="1"/>
  <c r="M143" i="1"/>
  <c r="L143" i="1"/>
  <c r="K143" i="1"/>
  <c r="J143" i="1"/>
  <c r="I143" i="1"/>
  <c r="H143" i="1"/>
  <c r="M142" i="1"/>
  <c r="L142" i="1"/>
  <c r="K142" i="1"/>
  <c r="J142" i="1"/>
  <c r="I142" i="1"/>
  <c r="H142" i="1"/>
  <c r="M141" i="1"/>
  <c r="L141" i="1"/>
  <c r="K141" i="1"/>
  <c r="J141" i="1"/>
  <c r="I141" i="1"/>
  <c r="H141" i="1"/>
  <c r="M140" i="1"/>
  <c r="L140" i="1"/>
  <c r="K140" i="1"/>
  <c r="J140" i="1"/>
  <c r="I140" i="1"/>
  <c r="H140" i="1"/>
  <c r="M138" i="1"/>
  <c r="L138" i="1"/>
  <c r="K138" i="1"/>
  <c r="J138" i="1"/>
  <c r="I138" i="1"/>
  <c r="H138" i="1"/>
  <c r="M136" i="1"/>
  <c r="L136" i="1"/>
  <c r="K136" i="1"/>
  <c r="J136" i="1"/>
  <c r="I136" i="1"/>
  <c r="H136" i="1"/>
  <c r="M135" i="1"/>
  <c r="L135" i="1"/>
  <c r="K135" i="1"/>
  <c r="J135" i="1"/>
  <c r="I135" i="1"/>
  <c r="H135" i="1"/>
  <c r="M134" i="1"/>
  <c r="L134" i="1"/>
  <c r="K134" i="1"/>
  <c r="J134" i="1"/>
  <c r="I134" i="1"/>
  <c r="H134" i="1"/>
  <c r="M133" i="1"/>
  <c r="L133" i="1"/>
  <c r="K133" i="1"/>
  <c r="J133" i="1"/>
  <c r="I133" i="1"/>
  <c r="H133" i="1"/>
  <c r="M131" i="1"/>
  <c r="L131" i="1"/>
  <c r="K131" i="1"/>
  <c r="J131" i="1"/>
  <c r="I131" i="1"/>
  <c r="H131" i="1"/>
  <c r="M130" i="1"/>
  <c r="L130" i="1"/>
  <c r="K130" i="1"/>
  <c r="J130" i="1"/>
  <c r="I130" i="1"/>
  <c r="H130" i="1"/>
  <c r="M123" i="1"/>
  <c r="L123" i="1"/>
  <c r="K123" i="1"/>
  <c r="J123" i="1"/>
  <c r="I123" i="1"/>
  <c r="H123" i="1"/>
  <c r="M120" i="1"/>
  <c r="L120" i="1"/>
  <c r="K120" i="1"/>
  <c r="J120" i="1"/>
  <c r="I120" i="1"/>
  <c r="H120" i="1"/>
  <c r="M119" i="1"/>
  <c r="L119" i="1"/>
  <c r="K119" i="1"/>
  <c r="J119" i="1"/>
  <c r="I119" i="1"/>
  <c r="H119" i="1"/>
  <c r="M118" i="1"/>
  <c r="L118" i="1"/>
  <c r="K118" i="1"/>
  <c r="J118" i="1"/>
  <c r="I118" i="1"/>
  <c r="H118" i="1"/>
  <c r="M117" i="1"/>
  <c r="L117" i="1"/>
  <c r="K117" i="1"/>
  <c r="J117" i="1"/>
  <c r="I117" i="1"/>
  <c r="H117" i="1"/>
  <c r="M116" i="1"/>
  <c r="L116" i="1"/>
  <c r="K116" i="1"/>
  <c r="J116" i="1"/>
  <c r="I116" i="1"/>
  <c r="H116" i="1"/>
  <c r="M115" i="1"/>
  <c r="L115" i="1"/>
  <c r="K115" i="1"/>
  <c r="J115" i="1"/>
  <c r="I115" i="1"/>
  <c r="H115" i="1"/>
  <c r="M114" i="1"/>
  <c r="L114" i="1"/>
  <c r="K114" i="1"/>
  <c r="J114" i="1"/>
  <c r="I114" i="1"/>
  <c r="H114" i="1"/>
  <c r="M113" i="1"/>
  <c r="L113" i="1"/>
  <c r="K113" i="1"/>
  <c r="J113" i="1"/>
  <c r="I113" i="1"/>
  <c r="H113" i="1"/>
  <c r="M111" i="1"/>
  <c r="L111" i="1"/>
  <c r="K111" i="1"/>
  <c r="J111" i="1"/>
  <c r="I111" i="1"/>
  <c r="H111" i="1"/>
  <c r="M110" i="1"/>
  <c r="L110" i="1"/>
  <c r="K110" i="1"/>
  <c r="J110" i="1"/>
  <c r="I110" i="1"/>
  <c r="H110" i="1"/>
  <c r="M109" i="1"/>
  <c r="L109" i="1"/>
  <c r="K109" i="1"/>
  <c r="J109" i="1"/>
  <c r="I109" i="1"/>
  <c r="H109" i="1"/>
  <c r="M108" i="1"/>
  <c r="L108" i="1"/>
  <c r="K108" i="1"/>
  <c r="J108" i="1"/>
  <c r="I108" i="1"/>
  <c r="H108" i="1"/>
  <c r="M107" i="1"/>
  <c r="L107" i="1"/>
  <c r="K107" i="1"/>
  <c r="J107" i="1"/>
  <c r="I107" i="1"/>
  <c r="H107" i="1"/>
  <c r="M106" i="1"/>
  <c r="L106" i="1"/>
  <c r="K106" i="1"/>
  <c r="J106" i="1"/>
  <c r="I106" i="1"/>
  <c r="H106" i="1"/>
  <c r="M105" i="1"/>
  <c r="L105" i="1"/>
  <c r="K105" i="1"/>
  <c r="J105" i="1"/>
  <c r="I105" i="1"/>
  <c r="H105" i="1"/>
  <c r="M104" i="1"/>
  <c r="L104" i="1"/>
  <c r="K104" i="1"/>
  <c r="J104" i="1"/>
  <c r="I104" i="1"/>
  <c r="H104" i="1"/>
  <c r="M101" i="1"/>
  <c r="L101" i="1"/>
  <c r="K101" i="1"/>
  <c r="J101" i="1"/>
  <c r="I101" i="1"/>
  <c r="H101" i="1"/>
  <c r="M100" i="1"/>
  <c r="L100" i="1"/>
  <c r="K100" i="1"/>
  <c r="J100" i="1"/>
  <c r="I100" i="1"/>
  <c r="H100" i="1"/>
  <c r="M99" i="1"/>
  <c r="L99" i="1"/>
  <c r="K99" i="1"/>
  <c r="J99" i="1"/>
  <c r="I99" i="1"/>
  <c r="H99" i="1"/>
  <c r="M98" i="1"/>
  <c r="L98" i="1"/>
  <c r="K98" i="1"/>
  <c r="J98" i="1"/>
  <c r="I98" i="1"/>
  <c r="H98" i="1"/>
  <c r="M95" i="1"/>
  <c r="L95" i="1"/>
  <c r="K95" i="1"/>
  <c r="J95" i="1"/>
  <c r="I95" i="1"/>
  <c r="H95" i="1"/>
  <c r="M94" i="1"/>
  <c r="L94" i="1"/>
  <c r="K94" i="1"/>
  <c r="J94" i="1"/>
  <c r="I94" i="1"/>
  <c r="H94" i="1"/>
  <c r="M92" i="1"/>
  <c r="L92" i="1"/>
  <c r="K92" i="1"/>
  <c r="J92" i="1"/>
  <c r="I92" i="1"/>
  <c r="H92" i="1"/>
  <c r="M90" i="1"/>
  <c r="L90" i="1"/>
  <c r="K90" i="1"/>
  <c r="J90" i="1"/>
  <c r="I90" i="1"/>
  <c r="H90" i="1"/>
  <c r="M89" i="1"/>
  <c r="L89" i="1"/>
  <c r="K89" i="1"/>
  <c r="J89" i="1"/>
  <c r="I89" i="1"/>
  <c r="H89" i="1"/>
  <c r="M87" i="1"/>
  <c r="L87" i="1"/>
  <c r="K87" i="1"/>
  <c r="J87" i="1"/>
  <c r="I87" i="1"/>
  <c r="H87" i="1"/>
  <c r="M86" i="1"/>
  <c r="L86" i="1"/>
  <c r="K86" i="1"/>
  <c r="J86" i="1"/>
  <c r="I86" i="1"/>
  <c r="H86" i="1"/>
  <c r="M85" i="1"/>
  <c r="L85" i="1"/>
  <c r="K85" i="1"/>
  <c r="J85" i="1"/>
  <c r="I85" i="1"/>
  <c r="H85" i="1"/>
  <c r="M84" i="1"/>
  <c r="L84" i="1"/>
  <c r="K84" i="1"/>
  <c r="J84" i="1"/>
  <c r="I84" i="1"/>
  <c r="H84" i="1"/>
  <c r="M81" i="1"/>
  <c r="L81" i="1"/>
  <c r="K81" i="1"/>
  <c r="J81" i="1"/>
  <c r="I81" i="1"/>
  <c r="H81" i="1"/>
  <c r="M80" i="1"/>
  <c r="L80" i="1"/>
  <c r="K80" i="1"/>
  <c r="J80" i="1"/>
  <c r="I80" i="1"/>
  <c r="H80" i="1"/>
  <c r="M78" i="1"/>
  <c r="L78" i="1"/>
  <c r="K78" i="1"/>
  <c r="J78" i="1"/>
  <c r="I78" i="1"/>
  <c r="H78" i="1"/>
  <c r="M77" i="1"/>
  <c r="L77" i="1"/>
  <c r="K77" i="1"/>
  <c r="J77" i="1"/>
  <c r="I77" i="1"/>
  <c r="H77" i="1"/>
  <c r="M76" i="1"/>
  <c r="L76" i="1"/>
  <c r="K76" i="1"/>
  <c r="J76" i="1"/>
  <c r="I76" i="1"/>
  <c r="H76" i="1"/>
  <c r="M75" i="1"/>
  <c r="L75" i="1"/>
  <c r="K75" i="1"/>
  <c r="J75" i="1"/>
  <c r="I75" i="1"/>
  <c r="H75" i="1"/>
  <c r="M72" i="1"/>
  <c r="L72" i="1"/>
  <c r="K72" i="1"/>
  <c r="J72" i="1"/>
  <c r="I72" i="1"/>
  <c r="H72" i="1"/>
  <c r="M71" i="1"/>
  <c r="L71" i="1"/>
  <c r="K71" i="1"/>
  <c r="J71" i="1"/>
  <c r="I71" i="1"/>
  <c r="H71" i="1"/>
  <c r="M70" i="1"/>
  <c r="L70" i="1"/>
  <c r="K70" i="1"/>
  <c r="J70" i="1"/>
  <c r="I70" i="1"/>
  <c r="H70" i="1"/>
  <c r="M69" i="1"/>
  <c r="L69" i="1"/>
  <c r="K69" i="1"/>
  <c r="J69" i="1"/>
  <c r="I69" i="1"/>
  <c r="H69" i="1"/>
  <c r="M68" i="1"/>
  <c r="L68" i="1"/>
  <c r="K68" i="1"/>
  <c r="J68" i="1"/>
  <c r="I68" i="1"/>
  <c r="H68" i="1"/>
  <c r="M66" i="1"/>
  <c r="L66" i="1"/>
  <c r="K66" i="1"/>
  <c r="J66" i="1"/>
  <c r="I66" i="1"/>
  <c r="H66" i="1"/>
  <c r="M63" i="1"/>
  <c r="L63" i="1"/>
  <c r="K63" i="1"/>
  <c r="J63" i="1"/>
  <c r="I63" i="1"/>
  <c r="H63" i="1"/>
  <c r="M62" i="1"/>
  <c r="L62" i="1"/>
  <c r="K62" i="1"/>
  <c r="J62" i="1"/>
  <c r="I62" i="1"/>
  <c r="H62" i="1"/>
  <c r="M60" i="1"/>
  <c r="L60" i="1"/>
  <c r="K60" i="1"/>
  <c r="J60" i="1"/>
  <c r="I60" i="1"/>
  <c r="H60" i="1"/>
  <c r="M58" i="1"/>
  <c r="L58" i="1"/>
  <c r="K58" i="1"/>
  <c r="J58" i="1"/>
  <c r="I58" i="1"/>
  <c r="H58" i="1"/>
  <c r="M56" i="1"/>
  <c r="L56" i="1"/>
  <c r="K56" i="1"/>
  <c r="J56" i="1"/>
  <c r="I56" i="1"/>
  <c r="H56" i="1"/>
  <c r="M55" i="1"/>
  <c r="L55" i="1"/>
  <c r="K55" i="1"/>
  <c r="J55" i="1"/>
  <c r="I55" i="1"/>
  <c r="H55" i="1"/>
  <c r="M53" i="1"/>
  <c r="L53" i="1"/>
  <c r="K53" i="1"/>
  <c r="J53" i="1"/>
  <c r="I53" i="1"/>
  <c r="H53" i="1"/>
  <c r="M50" i="1"/>
  <c r="L50" i="1"/>
  <c r="K50" i="1"/>
  <c r="J50" i="1"/>
  <c r="I50" i="1"/>
  <c r="H50" i="1"/>
  <c r="M49" i="1"/>
  <c r="L49" i="1"/>
  <c r="K49" i="1"/>
  <c r="J49" i="1"/>
  <c r="I49" i="1"/>
  <c r="H49" i="1"/>
  <c r="M47" i="1"/>
  <c r="L47" i="1"/>
  <c r="K47" i="1"/>
  <c r="J47" i="1"/>
  <c r="I47" i="1"/>
  <c r="H47" i="1"/>
  <c r="M44" i="1"/>
  <c r="L44" i="1"/>
  <c r="K44" i="1"/>
  <c r="J44" i="1"/>
  <c r="I44" i="1"/>
  <c r="H44" i="1"/>
  <c r="M43" i="1"/>
  <c r="L43" i="1"/>
  <c r="K43" i="1"/>
  <c r="J43" i="1"/>
  <c r="I43" i="1"/>
  <c r="H43" i="1"/>
  <c r="M42" i="1"/>
  <c r="L42" i="1"/>
  <c r="K42" i="1"/>
  <c r="J42" i="1"/>
  <c r="I42" i="1"/>
  <c r="H42" i="1"/>
  <c r="M41" i="1"/>
  <c r="L41" i="1"/>
  <c r="K41" i="1"/>
  <c r="J41" i="1"/>
  <c r="I41" i="1"/>
  <c r="H41" i="1"/>
  <c r="M40" i="1"/>
  <c r="L40" i="1"/>
  <c r="K40" i="1"/>
  <c r="J40" i="1"/>
  <c r="I40" i="1"/>
  <c r="H40" i="1"/>
  <c r="M39" i="1"/>
  <c r="L39" i="1"/>
  <c r="K39" i="1"/>
  <c r="J39" i="1"/>
  <c r="I39" i="1"/>
  <c r="H39" i="1"/>
  <c r="M37" i="1"/>
  <c r="L37" i="1"/>
  <c r="K37" i="1"/>
  <c r="J37" i="1"/>
  <c r="I37" i="1"/>
  <c r="H37" i="1"/>
  <c r="M36" i="1"/>
  <c r="L36" i="1"/>
  <c r="K36" i="1"/>
  <c r="J36" i="1"/>
  <c r="I36" i="1"/>
  <c r="H36" i="1"/>
  <c r="M35" i="1"/>
  <c r="L35" i="1"/>
  <c r="K35" i="1"/>
  <c r="J35" i="1"/>
  <c r="I35" i="1"/>
  <c r="H35" i="1"/>
  <c r="M33" i="1"/>
  <c r="L33" i="1"/>
  <c r="K33" i="1"/>
  <c r="J33" i="1"/>
  <c r="I33" i="1"/>
  <c r="H33" i="1"/>
  <c r="M32" i="1"/>
  <c r="L32" i="1"/>
  <c r="K32" i="1"/>
  <c r="J32" i="1"/>
  <c r="I32" i="1"/>
  <c r="H32" i="1"/>
  <c r="M31" i="1"/>
  <c r="L31" i="1"/>
  <c r="K31" i="1"/>
  <c r="J31" i="1"/>
  <c r="I31" i="1"/>
  <c r="H31" i="1"/>
  <c r="M29" i="1"/>
  <c r="L29" i="1"/>
  <c r="K29" i="1"/>
  <c r="J29" i="1"/>
  <c r="I29" i="1"/>
  <c r="H29" i="1"/>
  <c r="M28" i="1"/>
  <c r="L28" i="1"/>
  <c r="K28" i="1"/>
  <c r="J28" i="1"/>
  <c r="I28" i="1"/>
  <c r="H28" i="1"/>
  <c r="M27" i="1"/>
  <c r="L27" i="1"/>
  <c r="K27" i="1"/>
  <c r="J27" i="1"/>
  <c r="I27" i="1"/>
  <c r="H27" i="1"/>
  <c r="M25" i="1"/>
  <c r="L25" i="1"/>
  <c r="K25" i="1"/>
  <c r="J25" i="1"/>
  <c r="I25" i="1"/>
  <c r="H25" i="1"/>
  <c r="M24" i="1"/>
  <c r="L24" i="1"/>
  <c r="K24" i="1"/>
  <c r="J24" i="1"/>
  <c r="I24" i="1"/>
  <c r="H24" i="1"/>
  <c r="M23" i="1"/>
  <c r="L23" i="1"/>
  <c r="K23" i="1"/>
  <c r="J23" i="1"/>
  <c r="I23" i="1"/>
  <c r="H23" i="1"/>
  <c r="M22" i="1"/>
  <c r="L22" i="1"/>
  <c r="K22" i="1"/>
  <c r="J22" i="1"/>
  <c r="I22" i="1"/>
  <c r="H22" i="1"/>
  <c r="M21" i="1"/>
  <c r="L21" i="1"/>
  <c r="K21" i="1"/>
  <c r="J21" i="1"/>
  <c r="I21" i="1"/>
  <c r="H21" i="1"/>
  <c r="M14" i="1"/>
  <c r="L14" i="1"/>
  <c r="K14" i="1"/>
  <c r="J14" i="1"/>
  <c r="I14" i="1"/>
  <c r="H14" i="1"/>
  <c r="M13" i="1"/>
  <c r="L13" i="1"/>
  <c r="K13" i="1"/>
  <c r="J13" i="1"/>
  <c r="I13" i="1"/>
  <c r="H13" i="1"/>
  <c r="M11" i="1"/>
  <c r="L11" i="1"/>
  <c r="K11" i="1"/>
  <c r="J11" i="1"/>
  <c r="I11" i="1"/>
  <c r="H11" i="1"/>
  <c r="J416" i="1" l="1"/>
  <c r="K333" i="1"/>
  <c r="P332" i="1"/>
  <c r="N72" i="1"/>
  <c r="O72" i="1" s="1"/>
  <c r="P72" i="1" s="1"/>
  <c r="N76" i="1"/>
  <c r="O76" i="1" s="1"/>
  <c r="P76" i="1" s="1"/>
  <c r="N98" i="1"/>
  <c r="O98" i="1" s="1"/>
  <c r="P98" i="1" s="1"/>
  <c r="N100" i="1"/>
  <c r="O100" i="1" s="1"/>
  <c r="P100" i="1" s="1"/>
  <c r="N119" i="1"/>
  <c r="O119" i="1" s="1"/>
  <c r="P119" i="1" s="1"/>
  <c r="J160" i="1"/>
  <c r="N147" i="1"/>
  <c r="O147" i="1" s="1"/>
  <c r="P147" i="1" s="1"/>
  <c r="N149" i="1"/>
  <c r="O149" i="1" s="1"/>
  <c r="P149" i="1" s="1"/>
  <c r="N159" i="1"/>
  <c r="O159" i="1" s="1"/>
  <c r="P159" i="1" s="1"/>
  <c r="K174" i="1"/>
  <c r="K184" i="1"/>
  <c r="J174" i="1"/>
  <c r="K416" i="1"/>
  <c r="K457" i="1"/>
  <c r="K463" i="1"/>
  <c r="I477" i="1"/>
  <c r="M477" i="1"/>
  <c r="N172" i="1"/>
  <c r="O172" i="1" s="1"/>
  <c r="N180" i="1"/>
  <c r="O180" i="1" s="1"/>
  <c r="P180" i="1" s="1"/>
  <c r="N183" i="1"/>
  <c r="O183" i="1" s="1"/>
  <c r="N189" i="1"/>
  <c r="O189" i="1" s="1"/>
  <c r="P189" i="1" s="1"/>
  <c r="N191" i="1"/>
  <c r="O191" i="1" s="1"/>
  <c r="P191" i="1" s="1"/>
  <c r="N193" i="1"/>
  <c r="O193" i="1" s="1"/>
  <c r="P193" i="1" s="1"/>
  <c r="N199" i="1"/>
  <c r="O199" i="1" s="1"/>
  <c r="P199" i="1" s="1"/>
  <c r="N202" i="1"/>
  <c r="O202" i="1" s="1"/>
  <c r="P202" i="1" s="1"/>
  <c r="N205" i="1"/>
  <c r="O205" i="1" s="1"/>
  <c r="P205" i="1" s="1"/>
  <c r="N210" i="1"/>
  <c r="O210" i="1" s="1"/>
  <c r="P210" i="1" s="1"/>
  <c r="N214" i="1"/>
  <c r="O214" i="1" s="1"/>
  <c r="P214" i="1" s="1"/>
  <c r="N219" i="1"/>
  <c r="O219" i="1" s="1"/>
  <c r="P219" i="1" s="1"/>
  <c r="N221" i="1"/>
  <c r="O221" i="1" s="1"/>
  <c r="P221" i="1" s="1"/>
  <c r="N223" i="1"/>
  <c r="O223" i="1" s="1"/>
  <c r="P223" i="1" s="1"/>
  <c r="N230" i="1"/>
  <c r="O230" i="1" s="1"/>
  <c r="P230" i="1" s="1"/>
  <c r="N235" i="1"/>
  <c r="O235" i="1" s="1"/>
  <c r="P235" i="1" s="1"/>
  <c r="N409" i="1"/>
  <c r="O409" i="1" s="1"/>
  <c r="P409" i="1" s="1"/>
  <c r="N412" i="1"/>
  <c r="O412" i="1" s="1"/>
  <c r="N414" i="1"/>
  <c r="O414" i="1" s="1"/>
  <c r="P414" i="1" s="1"/>
  <c r="N423" i="1"/>
  <c r="O423" i="1" s="1"/>
  <c r="P423" i="1" s="1"/>
  <c r="N427" i="1"/>
  <c r="O427" i="1" s="1"/>
  <c r="P427" i="1" s="1"/>
  <c r="N117" i="1"/>
  <c r="O117" i="1" s="1"/>
  <c r="P117" i="1" s="1"/>
  <c r="J15" i="1"/>
  <c r="H457" i="1"/>
  <c r="L457" i="1"/>
  <c r="H463" i="1"/>
  <c r="L463" i="1"/>
  <c r="L490" i="1"/>
  <c r="J497" i="1"/>
  <c r="K15" i="1"/>
  <c r="I160" i="1"/>
  <c r="M160" i="1"/>
  <c r="K497" i="1"/>
  <c r="I124" i="1"/>
  <c r="N25" i="1"/>
  <c r="O25" i="1" s="1"/>
  <c r="P25" i="1" s="1"/>
  <c r="N33" i="1"/>
  <c r="O33" i="1" s="1"/>
  <c r="P33" i="1" s="1"/>
  <c r="N36" i="1"/>
  <c r="O36" i="1" s="1"/>
  <c r="P36" i="1" s="1"/>
  <c r="N50" i="1"/>
  <c r="O50" i="1" s="1"/>
  <c r="P50" i="1" s="1"/>
  <c r="N81" i="1"/>
  <c r="O81" i="1" s="1"/>
  <c r="P81" i="1" s="1"/>
  <c r="N123" i="1"/>
  <c r="O123" i="1" s="1"/>
  <c r="N131" i="1"/>
  <c r="O131" i="1" s="1"/>
  <c r="P131" i="1" s="1"/>
  <c r="N134" i="1"/>
  <c r="O134" i="1" s="1"/>
  <c r="P134" i="1" s="1"/>
  <c r="N152" i="1"/>
  <c r="O152" i="1" s="1"/>
  <c r="P152" i="1" s="1"/>
  <c r="N154" i="1"/>
  <c r="O154" i="1" s="1"/>
  <c r="P154" i="1" s="1"/>
  <c r="M124" i="1"/>
  <c r="N31" i="1"/>
  <c r="O31" i="1" s="1"/>
  <c r="P31" i="1" s="1"/>
  <c r="N41" i="1"/>
  <c r="O41" i="1" s="1"/>
  <c r="P41" i="1" s="1"/>
  <c r="N43" i="1"/>
  <c r="O43" i="1" s="1"/>
  <c r="P43" i="1" s="1"/>
  <c r="N55" i="1"/>
  <c r="O55" i="1" s="1"/>
  <c r="P55" i="1" s="1"/>
  <c r="N78" i="1"/>
  <c r="O78" i="1" s="1"/>
  <c r="P78" i="1" s="1"/>
  <c r="N104" i="1"/>
  <c r="O104" i="1" s="1"/>
  <c r="P104" i="1" s="1"/>
  <c r="N106" i="1"/>
  <c r="O106" i="1" s="1"/>
  <c r="P106" i="1" s="1"/>
  <c r="H15" i="1"/>
  <c r="L15" i="1"/>
  <c r="J124" i="1"/>
  <c r="N63" i="1"/>
  <c r="O63" i="1" s="1"/>
  <c r="P63" i="1" s="1"/>
  <c r="N85" i="1"/>
  <c r="O85" i="1" s="1"/>
  <c r="P85" i="1" s="1"/>
  <c r="N87" i="1"/>
  <c r="O87" i="1" s="1"/>
  <c r="P87" i="1" s="1"/>
  <c r="N108" i="1"/>
  <c r="O108" i="1" s="1"/>
  <c r="P108" i="1" s="1"/>
  <c r="N110" i="1"/>
  <c r="O110" i="1" s="1"/>
  <c r="P110" i="1" s="1"/>
  <c r="K160" i="1"/>
  <c r="N136" i="1"/>
  <c r="O136" i="1" s="1"/>
  <c r="P136" i="1" s="1"/>
  <c r="N140" i="1"/>
  <c r="O140" i="1" s="1"/>
  <c r="P140" i="1" s="1"/>
  <c r="N156" i="1"/>
  <c r="O156" i="1" s="1"/>
  <c r="P156" i="1" s="1"/>
  <c r="N158" i="1"/>
  <c r="O158" i="1" s="1"/>
  <c r="P158" i="1" s="1"/>
  <c r="H174" i="1"/>
  <c r="L174" i="1"/>
  <c r="N169" i="1"/>
  <c r="O169" i="1" s="1"/>
  <c r="P169" i="1" s="1"/>
  <c r="N173" i="1"/>
  <c r="O173" i="1" s="1"/>
  <c r="P173" i="1" s="1"/>
  <c r="H184" i="1"/>
  <c r="L184" i="1"/>
  <c r="N188" i="1"/>
  <c r="N190" i="1"/>
  <c r="O190" i="1" s="1"/>
  <c r="P190" i="1" s="1"/>
  <c r="N192" i="1"/>
  <c r="O192" i="1" s="1"/>
  <c r="P192" i="1" s="1"/>
  <c r="N197" i="1"/>
  <c r="O197" i="1" s="1"/>
  <c r="P197" i="1" s="1"/>
  <c r="N200" i="1"/>
  <c r="O200" i="1" s="1"/>
  <c r="P200" i="1" s="1"/>
  <c r="N204" i="1"/>
  <c r="O204" i="1" s="1"/>
  <c r="P204" i="1" s="1"/>
  <c r="N207" i="1"/>
  <c r="O207" i="1" s="1"/>
  <c r="P207" i="1" s="1"/>
  <c r="N211" i="1"/>
  <c r="O211" i="1" s="1"/>
  <c r="P211" i="1" s="1"/>
  <c r="N217" i="1"/>
  <c r="O217" i="1" s="1"/>
  <c r="P217" i="1" s="1"/>
  <c r="N220" i="1"/>
  <c r="O220" i="1" s="1"/>
  <c r="P220" i="1" s="1"/>
  <c r="N13" i="1"/>
  <c r="O13" i="1" s="1"/>
  <c r="P13" i="1" s="1"/>
  <c r="N23" i="1"/>
  <c r="O23" i="1" s="1"/>
  <c r="P23" i="1" s="1"/>
  <c r="N28" i="1"/>
  <c r="O28" i="1" s="1"/>
  <c r="P28" i="1" s="1"/>
  <c r="N39" i="1"/>
  <c r="O39" i="1" s="1"/>
  <c r="P39" i="1" s="1"/>
  <c r="N47" i="1"/>
  <c r="O47" i="1" s="1"/>
  <c r="P47" i="1" s="1"/>
  <c r="N58" i="1"/>
  <c r="O58" i="1" s="1"/>
  <c r="P58" i="1" s="1"/>
  <c r="I15" i="1"/>
  <c r="M15" i="1"/>
  <c r="N14" i="1"/>
  <c r="O14" i="1" s="1"/>
  <c r="P14" i="1" s="1"/>
  <c r="K124" i="1"/>
  <c r="N22" i="1"/>
  <c r="O22" i="1" s="1"/>
  <c r="P22" i="1" s="1"/>
  <c r="N24" i="1"/>
  <c r="O24" i="1" s="1"/>
  <c r="P24" i="1" s="1"/>
  <c r="N27" i="1"/>
  <c r="O27" i="1" s="1"/>
  <c r="P27" i="1" s="1"/>
  <c r="N29" i="1"/>
  <c r="O29" i="1" s="1"/>
  <c r="P29" i="1" s="1"/>
  <c r="N32" i="1"/>
  <c r="O32" i="1" s="1"/>
  <c r="P32" i="1" s="1"/>
  <c r="N35" i="1"/>
  <c r="O35" i="1" s="1"/>
  <c r="P35" i="1" s="1"/>
  <c r="N37" i="1"/>
  <c r="O37" i="1" s="1"/>
  <c r="P37" i="1" s="1"/>
  <c r="N40" i="1"/>
  <c r="O40" i="1" s="1"/>
  <c r="P40" i="1" s="1"/>
  <c r="N42" i="1"/>
  <c r="O42" i="1" s="1"/>
  <c r="P42" i="1" s="1"/>
  <c r="N44" i="1"/>
  <c r="O44" i="1" s="1"/>
  <c r="P44" i="1" s="1"/>
  <c r="N49" i="1"/>
  <c r="O49" i="1" s="1"/>
  <c r="P49" i="1" s="1"/>
  <c r="N53" i="1"/>
  <c r="O53" i="1" s="1"/>
  <c r="P53" i="1" s="1"/>
  <c r="N56" i="1"/>
  <c r="O56" i="1" s="1"/>
  <c r="P56" i="1" s="1"/>
  <c r="N60" i="1"/>
  <c r="O60" i="1" s="1"/>
  <c r="P60" i="1" s="1"/>
  <c r="N68" i="1"/>
  <c r="O68" i="1" s="1"/>
  <c r="P68" i="1" s="1"/>
  <c r="N70" i="1"/>
  <c r="O70" i="1" s="1"/>
  <c r="P70" i="1" s="1"/>
  <c r="N90" i="1"/>
  <c r="O90" i="1" s="1"/>
  <c r="P90" i="1" s="1"/>
  <c r="N94" i="1"/>
  <c r="O94" i="1" s="1"/>
  <c r="P94" i="1" s="1"/>
  <c r="N113" i="1"/>
  <c r="O113" i="1" s="1"/>
  <c r="P113" i="1" s="1"/>
  <c r="N115" i="1"/>
  <c r="O115" i="1" s="1"/>
  <c r="P115" i="1" s="1"/>
  <c r="L160" i="1"/>
  <c r="N142" i="1"/>
  <c r="O142" i="1" s="1"/>
  <c r="P142" i="1" s="1"/>
  <c r="N144" i="1"/>
  <c r="O144" i="1" s="1"/>
  <c r="P144" i="1" s="1"/>
  <c r="I174" i="1"/>
  <c r="M174" i="1"/>
  <c r="I184" i="1"/>
  <c r="M184" i="1"/>
  <c r="N222" i="1"/>
  <c r="O222" i="1" s="1"/>
  <c r="P222" i="1" s="1"/>
  <c r="N227" i="1"/>
  <c r="O227" i="1" s="1"/>
  <c r="P227" i="1" s="1"/>
  <c r="N233" i="1"/>
  <c r="O233" i="1" s="1"/>
  <c r="P233" i="1" s="1"/>
  <c r="N236" i="1"/>
  <c r="O236" i="1" s="1"/>
  <c r="P236" i="1" s="1"/>
  <c r="N240" i="1"/>
  <c r="O240" i="1" s="1"/>
  <c r="P240" i="1" s="1"/>
  <c r="N244" i="1"/>
  <c r="O244" i="1" s="1"/>
  <c r="P244" i="1" s="1"/>
  <c r="N251" i="1"/>
  <c r="O251" i="1" s="1"/>
  <c r="P251" i="1" s="1"/>
  <c r="N254" i="1"/>
  <c r="O254" i="1" s="1"/>
  <c r="P254" i="1" s="1"/>
  <c r="N256" i="1"/>
  <c r="O256" i="1" s="1"/>
  <c r="P256" i="1" s="1"/>
  <c r="N260" i="1"/>
  <c r="O260" i="1" s="1"/>
  <c r="P260" i="1" s="1"/>
  <c r="N263" i="1"/>
  <c r="O263" i="1" s="1"/>
  <c r="P263" i="1" s="1"/>
  <c r="N266" i="1"/>
  <c r="O266" i="1" s="1"/>
  <c r="P266" i="1" s="1"/>
  <c r="N269" i="1"/>
  <c r="O269" i="1" s="1"/>
  <c r="P269" i="1" s="1"/>
  <c r="N271" i="1"/>
  <c r="O271" i="1" s="1"/>
  <c r="P271" i="1" s="1"/>
  <c r="N276" i="1"/>
  <c r="O276" i="1" s="1"/>
  <c r="P276" i="1" s="1"/>
  <c r="N278" i="1"/>
  <c r="O278" i="1" s="1"/>
  <c r="P278" i="1" s="1"/>
  <c r="N280" i="1"/>
  <c r="O280" i="1" s="1"/>
  <c r="P280" i="1" s="1"/>
  <c r="N282" i="1"/>
  <c r="O282" i="1" s="1"/>
  <c r="P282" i="1" s="1"/>
  <c r="N285" i="1"/>
  <c r="O285" i="1" s="1"/>
  <c r="P285" i="1" s="1"/>
  <c r="N287" i="1"/>
  <c r="O287" i="1" s="1"/>
  <c r="P287" i="1" s="1"/>
  <c r="N289" i="1"/>
  <c r="O289" i="1" s="1"/>
  <c r="P289" i="1" s="1"/>
  <c r="N291" i="1"/>
  <c r="O291" i="1" s="1"/>
  <c r="P291" i="1" s="1"/>
  <c r="N302" i="1"/>
  <c r="O302" i="1" s="1"/>
  <c r="P302" i="1" s="1"/>
  <c r="N306" i="1"/>
  <c r="O306" i="1" s="1"/>
  <c r="P306" i="1" s="1"/>
  <c r="N308" i="1"/>
  <c r="O308" i="1" s="1"/>
  <c r="P308" i="1" s="1"/>
  <c r="N313" i="1"/>
  <c r="O313" i="1" s="1"/>
  <c r="P313" i="1" s="1"/>
  <c r="N315" i="1"/>
  <c r="O315" i="1" s="1"/>
  <c r="P315" i="1" s="1"/>
  <c r="N318" i="1"/>
  <c r="O318" i="1" s="1"/>
  <c r="P318" i="1" s="1"/>
  <c r="N320" i="1"/>
  <c r="O320" i="1" s="1"/>
  <c r="P320" i="1" s="1"/>
  <c r="N323" i="1"/>
  <c r="O323" i="1" s="1"/>
  <c r="P323" i="1" s="1"/>
  <c r="N327" i="1"/>
  <c r="O327" i="1" s="1"/>
  <c r="P327" i="1" s="1"/>
  <c r="N329" i="1"/>
  <c r="O329" i="1" s="1"/>
  <c r="P329" i="1" s="1"/>
  <c r="N397" i="1"/>
  <c r="O397" i="1" s="1"/>
  <c r="P397" i="1" s="1"/>
  <c r="N401" i="1"/>
  <c r="O401" i="1" s="1"/>
  <c r="P401" i="1" s="1"/>
  <c r="N408" i="1"/>
  <c r="O408" i="1" s="1"/>
  <c r="P408" i="1" s="1"/>
  <c r="N429" i="1"/>
  <c r="O429" i="1" s="1"/>
  <c r="P429" i="1" s="1"/>
  <c r="N432" i="1"/>
  <c r="O432" i="1" s="1"/>
  <c r="P432" i="1" s="1"/>
  <c r="N436" i="1"/>
  <c r="O436" i="1" s="1"/>
  <c r="P436" i="1" s="1"/>
  <c r="N439" i="1"/>
  <c r="O439" i="1" s="1"/>
  <c r="P439" i="1" s="1"/>
  <c r="N441" i="1"/>
  <c r="O441" i="1" s="1"/>
  <c r="P441" i="1" s="1"/>
  <c r="N443" i="1"/>
  <c r="O443" i="1" s="1"/>
  <c r="P443" i="1" s="1"/>
  <c r="N445" i="1"/>
  <c r="O445" i="1" s="1"/>
  <c r="P445" i="1" s="1"/>
  <c r="N449" i="1"/>
  <c r="O449" i="1" s="1"/>
  <c r="P449" i="1" s="1"/>
  <c r="N451" i="1"/>
  <c r="O451" i="1" s="1"/>
  <c r="P451" i="1" s="1"/>
  <c r="N456" i="1"/>
  <c r="O456" i="1" s="1"/>
  <c r="P456" i="1" s="1"/>
  <c r="N461" i="1"/>
  <c r="O461" i="1" s="1"/>
  <c r="P461" i="1" s="1"/>
  <c r="N466" i="1"/>
  <c r="O466" i="1" s="1"/>
  <c r="N468" i="1"/>
  <c r="O468" i="1" s="1"/>
  <c r="P468" i="1" s="1"/>
  <c r="N470" i="1"/>
  <c r="O470" i="1" s="1"/>
  <c r="P470" i="1" s="1"/>
  <c r="N472" i="1"/>
  <c r="O472" i="1" s="1"/>
  <c r="P472" i="1" s="1"/>
  <c r="N474" i="1"/>
  <c r="O474" i="1" s="1"/>
  <c r="P474" i="1" s="1"/>
  <c r="N476" i="1"/>
  <c r="O476" i="1" s="1"/>
  <c r="P476" i="1" s="1"/>
  <c r="N481" i="1"/>
  <c r="O481" i="1" s="1"/>
  <c r="P481" i="1" s="1"/>
  <c r="N483" i="1"/>
  <c r="O483" i="1" s="1"/>
  <c r="P483" i="1" s="1"/>
  <c r="N485" i="1"/>
  <c r="O485" i="1" s="1"/>
  <c r="P485" i="1" s="1"/>
  <c r="N487" i="1"/>
  <c r="O487" i="1" s="1"/>
  <c r="P487" i="1" s="1"/>
  <c r="N501" i="1"/>
  <c r="O501" i="1" s="1"/>
  <c r="N413" i="1"/>
  <c r="O413" i="1" s="1"/>
  <c r="P413" i="1" s="1"/>
  <c r="K452" i="1"/>
  <c r="N422" i="1"/>
  <c r="O422" i="1" s="1"/>
  <c r="P422" i="1" s="1"/>
  <c r="N428" i="1"/>
  <c r="O428" i="1" s="1"/>
  <c r="P428" i="1" s="1"/>
  <c r="I457" i="1"/>
  <c r="M457" i="1"/>
  <c r="I463" i="1"/>
  <c r="M463" i="1"/>
  <c r="K477" i="1"/>
  <c r="I488" i="1"/>
  <c r="I490" i="1" s="1"/>
  <c r="N239" i="1"/>
  <c r="O239" i="1" s="1"/>
  <c r="P239" i="1" s="1"/>
  <c r="N242" i="1"/>
  <c r="O242" i="1" s="1"/>
  <c r="P242" i="1" s="1"/>
  <c r="N248" i="1"/>
  <c r="O248" i="1" s="1"/>
  <c r="P248" i="1" s="1"/>
  <c r="N252" i="1"/>
  <c r="O252" i="1" s="1"/>
  <c r="P252" i="1" s="1"/>
  <c r="N255" i="1"/>
  <c r="O255" i="1" s="1"/>
  <c r="P255" i="1" s="1"/>
  <c r="N258" i="1"/>
  <c r="O258" i="1" s="1"/>
  <c r="P258" i="1" s="1"/>
  <c r="N261" i="1"/>
  <c r="O261" i="1" s="1"/>
  <c r="P261" i="1" s="1"/>
  <c r="N264" i="1"/>
  <c r="O264" i="1" s="1"/>
  <c r="P264" i="1" s="1"/>
  <c r="N267" i="1"/>
  <c r="O267" i="1" s="1"/>
  <c r="P267" i="1" s="1"/>
  <c r="N270" i="1"/>
  <c r="O270" i="1" s="1"/>
  <c r="P270" i="1" s="1"/>
  <c r="N273" i="1"/>
  <c r="O273" i="1" s="1"/>
  <c r="P273" i="1" s="1"/>
  <c r="N277" i="1"/>
  <c r="O277" i="1" s="1"/>
  <c r="P277" i="1" s="1"/>
  <c r="N279" i="1"/>
  <c r="O279" i="1" s="1"/>
  <c r="P279" i="1" s="1"/>
  <c r="N281" i="1"/>
  <c r="O281" i="1" s="1"/>
  <c r="P281" i="1" s="1"/>
  <c r="N283" i="1"/>
  <c r="O283" i="1" s="1"/>
  <c r="P283" i="1" s="1"/>
  <c r="N286" i="1"/>
  <c r="O286" i="1" s="1"/>
  <c r="P286" i="1" s="1"/>
  <c r="N288" i="1"/>
  <c r="O288" i="1" s="1"/>
  <c r="P288" i="1" s="1"/>
  <c r="N290" i="1"/>
  <c r="O290" i="1" s="1"/>
  <c r="P290" i="1" s="1"/>
  <c r="N294" i="1"/>
  <c r="O294" i="1" s="1"/>
  <c r="P294" i="1" s="1"/>
  <c r="N300" i="1"/>
  <c r="O300" i="1" s="1"/>
  <c r="P300" i="1" s="1"/>
  <c r="N304" i="1"/>
  <c r="O304" i="1" s="1"/>
  <c r="P304" i="1" s="1"/>
  <c r="N307" i="1"/>
  <c r="O307" i="1" s="1"/>
  <c r="P307" i="1" s="1"/>
  <c r="N311" i="1"/>
  <c r="O311" i="1" s="1"/>
  <c r="P311" i="1" s="1"/>
  <c r="N314" i="1"/>
  <c r="O314" i="1" s="1"/>
  <c r="P314" i="1" s="1"/>
  <c r="N317" i="1"/>
  <c r="O317" i="1" s="1"/>
  <c r="P317" i="1" s="1"/>
  <c r="N319" i="1"/>
  <c r="O319" i="1" s="1"/>
  <c r="P319" i="1" s="1"/>
  <c r="N321" i="1"/>
  <c r="O321" i="1" s="1"/>
  <c r="P321" i="1" s="1"/>
  <c r="N326" i="1"/>
  <c r="O326" i="1" s="1"/>
  <c r="P326" i="1" s="1"/>
  <c r="N328" i="1"/>
  <c r="O328" i="1" s="1"/>
  <c r="P328" i="1" s="1"/>
  <c r="N330" i="1"/>
  <c r="O330" i="1" s="1"/>
  <c r="P330" i="1" s="1"/>
  <c r="N340" i="1"/>
  <c r="O340" i="1" s="1"/>
  <c r="P340" i="1" s="1"/>
  <c r="N342" i="1"/>
  <c r="O342" i="1" s="1"/>
  <c r="P342" i="1" s="1"/>
  <c r="N345" i="1"/>
  <c r="O345" i="1" s="1"/>
  <c r="P345" i="1" s="1"/>
  <c r="N347" i="1"/>
  <c r="O347" i="1" s="1"/>
  <c r="P347" i="1" s="1"/>
  <c r="N351" i="1"/>
  <c r="O351" i="1" s="1"/>
  <c r="P351" i="1" s="1"/>
  <c r="N354" i="1"/>
  <c r="O354" i="1" s="1"/>
  <c r="P354" i="1" s="1"/>
  <c r="N357" i="1"/>
  <c r="O357" i="1" s="1"/>
  <c r="P357" i="1" s="1"/>
  <c r="N361" i="1"/>
  <c r="O361" i="1" s="1"/>
  <c r="P361" i="1" s="1"/>
  <c r="N365" i="1"/>
  <c r="O365" i="1" s="1"/>
  <c r="P365" i="1" s="1"/>
  <c r="N368" i="1"/>
  <c r="O368" i="1" s="1"/>
  <c r="P368" i="1" s="1"/>
  <c r="N371" i="1"/>
  <c r="O371" i="1" s="1"/>
  <c r="P371" i="1" s="1"/>
  <c r="N374" i="1"/>
  <c r="O374" i="1" s="1"/>
  <c r="P374" i="1" s="1"/>
  <c r="N376" i="1"/>
  <c r="O376" i="1" s="1"/>
  <c r="P376" i="1" s="1"/>
  <c r="N380" i="1"/>
  <c r="O380" i="1" s="1"/>
  <c r="P380" i="1" s="1"/>
  <c r="N385" i="1"/>
  <c r="O385" i="1" s="1"/>
  <c r="P385" i="1" s="1"/>
  <c r="N388" i="1"/>
  <c r="O388" i="1" s="1"/>
  <c r="P388" i="1" s="1"/>
  <c r="N390" i="1"/>
  <c r="O390" i="1" s="1"/>
  <c r="P390" i="1" s="1"/>
  <c r="N394" i="1"/>
  <c r="O394" i="1" s="1"/>
  <c r="P394" i="1" s="1"/>
  <c r="N396" i="1"/>
  <c r="O396" i="1" s="1"/>
  <c r="P396" i="1" s="1"/>
  <c r="N398" i="1"/>
  <c r="O398" i="1" s="1"/>
  <c r="P398" i="1" s="1"/>
  <c r="N399" i="1"/>
  <c r="O399" i="1" s="1"/>
  <c r="P399" i="1" s="1"/>
  <c r="N400" i="1"/>
  <c r="O400" i="1" s="1"/>
  <c r="P400" i="1" s="1"/>
  <c r="N404" i="1"/>
  <c r="O404" i="1" s="1"/>
  <c r="P404" i="1" s="1"/>
  <c r="N405" i="1"/>
  <c r="O405" i="1" s="1"/>
  <c r="P405" i="1" s="1"/>
  <c r="N410" i="1"/>
  <c r="O410" i="1" s="1"/>
  <c r="P410" i="1" s="1"/>
  <c r="N415" i="1"/>
  <c r="O415" i="1" s="1"/>
  <c r="P415" i="1" s="1"/>
  <c r="H452" i="1"/>
  <c r="L452" i="1"/>
  <c r="N426" i="1"/>
  <c r="O426" i="1" s="1"/>
  <c r="P426" i="1" s="1"/>
  <c r="N430" i="1"/>
  <c r="O430" i="1" s="1"/>
  <c r="P430" i="1" s="1"/>
  <c r="N434" i="1"/>
  <c r="O434" i="1" s="1"/>
  <c r="P434" i="1" s="1"/>
  <c r="N437" i="1"/>
  <c r="O437" i="1" s="1"/>
  <c r="P437" i="1" s="1"/>
  <c r="N440" i="1"/>
  <c r="O440" i="1" s="1"/>
  <c r="P440" i="1" s="1"/>
  <c r="N442" i="1"/>
  <c r="O442" i="1" s="1"/>
  <c r="P442" i="1" s="1"/>
  <c r="N444" i="1"/>
  <c r="O444" i="1" s="1"/>
  <c r="P444" i="1" s="1"/>
  <c r="N448" i="1"/>
  <c r="O448" i="1" s="1"/>
  <c r="N450" i="1"/>
  <c r="O450" i="1" s="1"/>
  <c r="P450" i="1" s="1"/>
  <c r="J457" i="1"/>
  <c r="N460" i="1"/>
  <c r="O460" i="1" s="1"/>
  <c r="N462" i="1"/>
  <c r="O462" i="1" s="1"/>
  <c r="P462" i="1" s="1"/>
  <c r="H477" i="1"/>
  <c r="L477" i="1"/>
  <c r="J477" i="1"/>
  <c r="N469" i="1"/>
  <c r="O469" i="1" s="1"/>
  <c r="P469" i="1" s="1"/>
  <c r="N471" i="1"/>
  <c r="O471" i="1" s="1"/>
  <c r="P471" i="1" s="1"/>
  <c r="N473" i="1"/>
  <c r="O473" i="1" s="1"/>
  <c r="P473" i="1" s="1"/>
  <c r="N475" i="1"/>
  <c r="O475" i="1" s="1"/>
  <c r="P475" i="1" s="1"/>
  <c r="N480" i="1"/>
  <c r="O480" i="1" s="1"/>
  <c r="P480" i="1" s="1"/>
  <c r="N482" i="1"/>
  <c r="O482" i="1" s="1"/>
  <c r="P482" i="1" s="1"/>
  <c r="N484" i="1"/>
  <c r="O484" i="1" s="1"/>
  <c r="P484" i="1" s="1"/>
  <c r="M488" i="1"/>
  <c r="M490" i="1" s="1"/>
  <c r="I497" i="1"/>
  <c r="M497" i="1"/>
  <c r="H502" i="1"/>
  <c r="N11" i="1"/>
  <c r="O11" i="1" s="1"/>
  <c r="N21" i="1"/>
  <c r="O21" i="1" s="1"/>
  <c r="P21" i="1" s="1"/>
  <c r="N66" i="1"/>
  <c r="O66" i="1" s="1"/>
  <c r="P66" i="1" s="1"/>
  <c r="N71" i="1"/>
  <c r="O71" i="1" s="1"/>
  <c r="P71" i="1" s="1"/>
  <c r="N77" i="1"/>
  <c r="O77" i="1" s="1"/>
  <c r="P77" i="1" s="1"/>
  <c r="N84" i="1"/>
  <c r="O84" i="1" s="1"/>
  <c r="P84" i="1" s="1"/>
  <c r="N89" i="1"/>
  <c r="O89" i="1" s="1"/>
  <c r="P89" i="1" s="1"/>
  <c r="N95" i="1"/>
  <c r="O95" i="1" s="1"/>
  <c r="P95" i="1" s="1"/>
  <c r="N101" i="1"/>
  <c r="O101" i="1" s="1"/>
  <c r="P101" i="1" s="1"/>
  <c r="N107" i="1"/>
  <c r="O107" i="1" s="1"/>
  <c r="P107" i="1" s="1"/>
  <c r="N111" i="1"/>
  <c r="O111" i="1" s="1"/>
  <c r="P111" i="1" s="1"/>
  <c r="N116" i="1"/>
  <c r="O116" i="1" s="1"/>
  <c r="P116" i="1" s="1"/>
  <c r="N120" i="1"/>
  <c r="O120" i="1" s="1"/>
  <c r="P120" i="1" s="1"/>
  <c r="N130" i="1"/>
  <c r="O130" i="1" s="1"/>
  <c r="P130" i="1" s="1"/>
  <c r="N135" i="1"/>
  <c r="O135" i="1" s="1"/>
  <c r="P135" i="1" s="1"/>
  <c r="N141" i="1"/>
  <c r="O141" i="1" s="1"/>
  <c r="P141" i="1" s="1"/>
  <c r="N146" i="1"/>
  <c r="O146" i="1" s="1"/>
  <c r="P146" i="1" s="1"/>
  <c r="N151" i="1"/>
  <c r="O151" i="1" s="1"/>
  <c r="N155" i="1"/>
  <c r="O155" i="1" s="1"/>
  <c r="P155" i="1" s="1"/>
  <c r="N166" i="1"/>
  <c r="O166" i="1" s="1"/>
  <c r="P166" i="1" s="1"/>
  <c r="N467" i="1"/>
  <c r="O467" i="1" s="1"/>
  <c r="P467" i="1" s="1"/>
  <c r="N181" i="1"/>
  <c r="O181" i="1" s="1"/>
  <c r="P181" i="1" s="1"/>
  <c r="J184" i="1"/>
  <c r="J452" i="1"/>
  <c r="H124" i="1"/>
  <c r="L124" i="1"/>
  <c r="N62" i="1"/>
  <c r="O62" i="1" s="1"/>
  <c r="P62" i="1" s="1"/>
  <c r="N69" i="1"/>
  <c r="O69" i="1" s="1"/>
  <c r="P69" i="1" s="1"/>
  <c r="N75" i="1"/>
  <c r="O75" i="1" s="1"/>
  <c r="P75" i="1" s="1"/>
  <c r="N80" i="1"/>
  <c r="O80" i="1" s="1"/>
  <c r="P80" i="1" s="1"/>
  <c r="N86" i="1"/>
  <c r="O86" i="1" s="1"/>
  <c r="P86" i="1" s="1"/>
  <c r="N92" i="1"/>
  <c r="O92" i="1" s="1"/>
  <c r="P92" i="1" s="1"/>
  <c r="N99" i="1"/>
  <c r="O99" i="1" s="1"/>
  <c r="P99" i="1" s="1"/>
  <c r="N105" i="1"/>
  <c r="O105" i="1" s="1"/>
  <c r="P105" i="1" s="1"/>
  <c r="N109" i="1"/>
  <c r="O109" i="1" s="1"/>
  <c r="P109" i="1" s="1"/>
  <c r="N114" i="1"/>
  <c r="O114" i="1" s="1"/>
  <c r="P114" i="1" s="1"/>
  <c r="N118" i="1"/>
  <c r="O118" i="1" s="1"/>
  <c r="P118" i="1" s="1"/>
  <c r="N133" i="1"/>
  <c r="O133" i="1" s="1"/>
  <c r="P133" i="1" s="1"/>
  <c r="N138" i="1"/>
  <c r="O138" i="1" s="1"/>
  <c r="P138" i="1" s="1"/>
  <c r="N143" i="1"/>
  <c r="O143" i="1" s="1"/>
  <c r="P143" i="1" s="1"/>
  <c r="N148" i="1"/>
  <c r="O148" i="1" s="1"/>
  <c r="P148" i="1" s="1"/>
  <c r="N153" i="1"/>
  <c r="O153" i="1" s="1"/>
  <c r="P153" i="1" s="1"/>
  <c r="N157" i="1"/>
  <c r="O157" i="1" s="1"/>
  <c r="P157" i="1" s="1"/>
  <c r="N299" i="1"/>
  <c r="O299" i="1" s="1"/>
  <c r="P299" i="1" s="1"/>
  <c r="H160" i="1"/>
  <c r="N296" i="1"/>
  <c r="O296" i="1" s="1"/>
  <c r="P296" i="1" s="1"/>
  <c r="N339" i="1"/>
  <c r="O339" i="1" s="1"/>
  <c r="P339" i="1" s="1"/>
  <c r="N341" i="1"/>
  <c r="O341" i="1" s="1"/>
  <c r="P341" i="1" s="1"/>
  <c r="N343" i="1"/>
  <c r="O343" i="1" s="1"/>
  <c r="P343" i="1" s="1"/>
  <c r="N346" i="1"/>
  <c r="O346" i="1" s="1"/>
  <c r="P346" i="1" s="1"/>
  <c r="N350" i="1"/>
  <c r="O350" i="1" s="1"/>
  <c r="P350" i="1" s="1"/>
  <c r="N352" i="1"/>
  <c r="O352" i="1" s="1"/>
  <c r="P352" i="1" s="1"/>
  <c r="N355" i="1"/>
  <c r="O355" i="1" s="1"/>
  <c r="P355" i="1" s="1"/>
  <c r="N358" i="1"/>
  <c r="O358" i="1" s="1"/>
  <c r="P358" i="1" s="1"/>
  <c r="N363" i="1"/>
  <c r="O363" i="1" s="1"/>
  <c r="P363" i="1" s="1"/>
  <c r="N366" i="1"/>
  <c r="O366" i="1" s="1"/>
  <c r="P366" i="1" s="1"/>
  <c r="N370" i="1"/>
  <c r="O370" i="1" s="1"/>
  <c r="P370" i="1" s="1"/>
  <c r="N372" i="1"/>
  <c r="O372" i="1" s="1"/>
  <c r="P372" i="1" s="1"/>
  <c r="N375" i="1"/>
  <c r="O375" i="1" s="1"/>
  <c r="P375" i="1" s="1"/>
  <c r="N378" i="1"/>
  <c r="O378" i="1" s="1"/>
  <c r="P378" i="1" s="1"/>
  <c r="N382" i="1"/>
  <c r="O382" i="1" s="1"/>
  <c r="P382" i="1" s="1"/>
  <c r="N386" i="1"/>
  <c r="O386" i="1" s="1"/>
  <c r="P386" i="1" s="1"/>
  <c r="N389" i="1"/>
  <c r="O389" i="1" s="1"/>
  <c r="P389" i="1" s="1"/>
  <c r="N402" i="1"/>
  <c r="O402" i="1" s="1"/>
  <c r="P402" i="1" s="1"/>
  <c r="J333" i="1"/>
  <c r="M333" i="1"/>
  <c r="I333" i="1"/>
  <c r="L333" i="1"/>
  <c r="H333" i="1"/>
  <c r="I416" i="1"/>
  <c r="M416" i="1"/>
  <c r="J463" i="1"/>
  <c r="I452" i="1"/>
  <c r="M452" i="1"/>
  <c r="N455" i="1"/>
  <c r="O455" i="1" s="1"/>
  <c r="N486" i="1"/>
  <c r="H416" i="1"/>
  <c r="L416" i="1"/>
  <c r="N421" i="1"/>
  <c r="O421" i="1" s="1"/>
  <c r="P421" i="1" s="1"/>
  <c r="J488" i="1"/>
  <c r="J490" i="1" s="1"/>
  <c r="K488" i="1"/>
  <c r="K490" i="1" s="1"/>
  <c r="H488" i="1"/>
  <c r="H490" i="1" s="1"/>
  <c r="N502" i="1" l="1"/>
  <c r="O486" i="1"/>
  <c r="P490" i="1"/>
  <c r="P455" i="1"/>
  <c r="O457" i="1"/>
  <c r="P466" i="1"/>
  <c r="O477" i="1"/>
  <c r="P412" i="1"/>
  <c r="O416" i="1"/>
  <c r="P172" i="1"/>
  <c r="P174" i="1" s="1"/>
  <c r="O174" i="1"/>
  <c r="P151" i="1"/>
  <c r="O160" i="1"/>
  <c r="P448" i="1"/>
  <c r="P452" i="1" s="1"/>
  <c r="O452" i="1"/>
  <c r="P123" i="1"/>
  <c r="O124" i="1"/>
  <c r="P486" i="1"/>
  <c r="P11" i="1"/>
  <c r="P15" i="1" s="1"/>
  <c r="O15" i="1"/>
  <c r="P460" i="1"/>
  <c r="P463" i="1" s="1"/>
  <c r="O463" i="1"/>
  <c r="P183" i="1"/>
  <c r="P184" i="1" s="1"/>
  <c r="O184" i="1"/>
  <c r="O188" i="1"/>
  <c r="P188" i="1" s="1"/>
  <c r="P333" i="1" s="1"/>
  <c r="N184" i="1"/>
  <c r="J503" i="1"/>
  <c r="L503" i="1"/>
  <c r="P477" i="1"/>
  <c r="I503" i="1"/>
  <c r="N477" i="1"/>
  <c r="N463" i="1"/>
  <c r="K503" i="1"/>
  <c r="M503" i="1"/>
  <c r="P416" i="1"/>
  <c r="N416" i="1"/>
  <c r="P160" i="1"/>
  <c r="N160" i="1"/>
  <c r="N124" i="1"/>
  <c r="P124" i="1"/>
  <c r="N452" i="1"/>
  <c r="N15" i="1"/>
  <c r="N488" i="1"/>
  <c r="O488" i="1" s="1"/>
  <c r="P488" i="1" s="1"/>
  <c r="P457" i="1"/>
  <c r="N457" i="1"/>
  <c r="N174" i="1"/>
  <c r="N490" i="1" l="1"/>
  <c r="O490" i="1"/>
  <c r="P501" i="1"/>
  <c r="P502" i="1" s="1"/>
  <c r="O502" i="1"/>
  <c r="O333" i="1"/>
  <c r="N333" i="1"/>
  <c r="N497" i="1" l="1"/>
  <c r="N503" i="1" s="1"/>
  <c r="H497" i="1"/>
  <c r="H503" i="1" s="1"/>
  <c r="P497" i="1" l="1"/>
  <c r="P503" i="1" s="1"/>
  <c r="O497" i="1"/>
  <c r="O503" i="1" s="1"/>
</calcChain>
</file>

<file path=xl/sharedStrings.xml><?xml version="1.0" encoding="utf-8"?>
<sst xmlns="http://schemas.openxmlformats.org/spreadsheetml/2006/main" count="1226" uniqueCount="1044">
  <si>
    <t>Утверждаю</t>
  </si>
  <si>
    <t>Директор ООО УК ЖКХ "Авиастроительного района"</t>
  </si>
  <si>
    <t>Типовая смета расходов для девятиэтажного дома (с мягкой кровлей)</t>
  </si>
  <si>
    <t>№ ПП</t>
  </si>
  <si>
    <t>КОД</t>
  </si>
  <si>
    <t>НАЗВАНИЕ РАБОТЫ</t>
  </si>
  <si>
    <t>ИЗМЕРИТЕЛЬ</t>
  </si>
  <si>
    <t>КОЛ-ВО ЕД. ИЗМ.</t>
  </si>
  <si>
    <t>ПЕРИОДИЧ- НОСТЬ В ГОД</t>
  </si>
  <si>
    <t>ТРУД. РЕСУРСЫ, РУБ.</t>
  </si>
  <si>
    <t>МАТЕР. РЕСУРСЫ, РУБ.</t>
  </si>
  <si>
    <t>МАШ. МЕХ., РУБ.</t>
  </si>
  <si>
    <t>НАКЛ. РАСХОДЫ, РУБ.</t>
  </si>
  <si>
    <t>ПРИБЫЛЬ, РУБ.</t>
  </si>
  <si>
    <t>РАСХОДЫ НА УПРАВ., РУБ.</t>
  </si>
  <si>
    <t>СТОИМОСТЬ, РУБ.</t>
  </si>
  <si>
    <t>НА КВ.М/МЕС</t>
  </si>
  <si>
    <t>Дата изменения:</t>
  </si>
  <si>
    <t>Общая площадь, кв.м:</t>
  </si>
  <si>
    <t>2.6</t>
  </si>
  <si>
    <t>Подготовка многоквартирного дома к сезонной эксплуатации, проведение технических осмотров</t>
  </si>
  <si>
    <t>2.6.5</t>
  </si>
  <si>
    <t>Утепление и прочистка дымовентиляционных каналов</t>
  </si>
  <si>
    <t>1000 кв.м. общей площади</t>
  </si>
  <si>
    <t>2.6.12</t>
  </si>
  <si>
    <t>Проведение технических осмотров и устранение незначительных неисправностей в  системах вентиляции</t>
  </si>
  <si>
    <t>2.6.12.1</t>
  </si>
  <si>
    <t>Проверка наличия тяги в  дымовентиляционных каналах</t>
  </si>
  <si>
    <t>2.6.12.2</t>
  </si>
  <si>
    <t>Проведение технических осмотров и устранение незначительных неисправностей в системе вентиляции</t>
  </si>
  <si>
    <t>ИТОГО:</t>
  </si>
  <si>
    <t>2.2</t>
  </si>
  <si>
    <t>Системы холодного и горячего водоснабжения</t>
  </si>
  <si>
    <t>2.2.1</t>
  </si>
  <si>
    <t>Ремонт,  замена  внутридомовых сетей водоснабжения</t>
  </si>
  <si>
    <t>2.2.1.2</t>
  </si>
  <si>
    <t>Смена отдельных участков трубопроводов  водоснабжения из стальных водогазопроводных оцинкованных труб при соединении труб  на сварке</t>
  </si>
  <si>
    <t>2.2.1.2.1</t>
  </si>
  <si>
    <t>Смена отдельных участков трубопроводов водоснабжения из стальных водогазопроводных оцинкованных труб диаметром 40 мм</t>
  </si>
  <si>
    <t>100 м трубопроводов</t>
  </si>
  <si>
    <t>2.2.1.2.2</t>
  </si>
  <si>
    <t>Смена отдельных участков трубопроводов  водоснабжения из стальных водогазопроводных оцинкованных труб диаметром 50 мм</t>
  </si>
  <si>
    <t>2.2.1.2.3</t>
  </si>
  <si>
    <t>Смена отдельных участков трубопроводов  водоснабжения из стальных водогазопроводных оцинкованных труб диаметром 65 мм</t>
  </si>
  <si>
    <t>2.2.1.2.4</t>
  </si>
  <si>
    <t>Смена отдельных участков трубопроводов  водоснабжения из стальных водогазопроводных оцинкованных труб диаметром 80 мм</t>
  </si>
  <si>
    <t>2.2.1.2.5</t>
  </si>
  <si>
    <t>Смена отдельных участков трубопроводов  водоснабжения из стальных водогазопроводных оцинкованных труб диаметром 100 мм</t>
  </si>
  <si>
    <t>2.2.1.6</t>
  </si>
  <si>
    <t>Временная заделка свищей и трещин на внутренних трубопроводах и стояках</t>
  </si>
  <si>
    <t>2.2.1.6.1</t>
  </si>
  <si>
    <t>Временная заделка свищей и трещин на внутренних трубопроводах и стояках при диаметре трубопровода до 50 мм</t>
  </si>
  <si>
    <t>100 мест</t>
  </si>
  <si>
    <t>2.2.1.6.2</t>
  </si>
  <si>
    <t>Временная заделка свищей и трещин на внутренних трубопроводах и стояках при диаметре трубопровода до 75 мм</t>
  </si>
  <si>
    <t>2.2.1.6.3</t>
  </si>
  <si>
    <t>Временная заделка свищей и трещин на внутренних трубопроводах и стояках при диаметре трубопровода до 100 мм</t>
  </si>
  <si>
    <t>2.2.1.7</t>
  </si>
  <si>
    <t>Смена сгонов у трубопроводов</t>
  </si>
  <si>
    <t>2.2.1.7.1</t>
  </si>
  <si>
    <t>Смена сгонов у трубопроводов диаметром до 20 мм</t>
  </si>
  <si>
    <t>100 сгонов</t>
  </si>
  <si>
    <t>2.2.1.7.2</t>
  </si>
  <si>
    <t>Смена сгонов у трубопроводов диаметром до 32 мм</t>
  </si>
  <si>
    <t>2.2.1.7.3</t>
  </si>
  <si>
    <t>Смена сгонов у трубопроводов диаметром до 50 мм</t>
  </si>
  <si>
    <t>2.2.1.8</t>
  </si>
  <si>
    <t>Уплотнение сгонов</t>
  </si>
  <si>
    <t>2.2.1.8.1</t>
  </si>
  <si>
    <t>Уплотнение сгонов с применением льняной пряди или асбестового шнура (без разборки сгонов) диаметром до 20 мм</t>
  </si>
  <si>
    <t>1 сгон</t>
  </si>
  <si>
    <t>2.2.1.8.2</t>
  </si>
  <si>
    <t>Уплотнение сгонов с применением льняной пряди или асбестового шнура (без разборки сгонов) диаметром до 32 мм</t>
  </si>
  <si>
    <t>2.2.1.8.4</t>
  </si>
  <si>
    <t>Уплотнение сгонов с применением ленты ФУМ (без разборки сгонов) диаметром до 50 мм</t>
  </si>
  <si>
    <t>2.2.1.9</t>
  </si>
  <si>
    <t>Прокладка трубопроводов водоснабжения из напорных полиэтиленовых труб низкого давления среднего типа</t>
  </si>
  <si>
    <t>2.2.1.9.4</t>
  </si>
  <si>
    <t>Прокладка трубопроводов водоснабжения из напорных полиэтиленовых труб низкого давления среднего типа наружным диаметром 40 мм</t>
  </si>
  <si>
    <t>100 м трубопровода</t>
  </si>
  <si>
    <t>2.2.1.9.5</t>
  </si>
  <si>
    <t>Прокладка трубопроводов водоснабжения из напорных полиэтиленовых труб низкого давления среднего типа наружным диаметром 50 мм</t>
  </si>
  <si>
    <t>2.2.1.9.6</t>
  </si>
  <si>
    <t>Прокладка трубопроводов водоснабжения из напорных полиэтиленовых труб низкого давления среднего типа наружным диаметром 63 мм</t>
  </si>
  <si>
    <t>2.2.1.9.7</t>
  </si>
  <si>
    <t>Прокладка трубопроводов водоснабжения из напорных полиэтиленовых труб низкого давления среднего типа наружным диаметром 75 мм</t>
  </si>
  <si>
    <t>2.2.1.9.8</t>
  </si>
  <si>
    <t>Прокладка трубопроводов водоснабжения из напорных полиэтиленовых труб низкого давления среднего типа наружным диаметром 90 мм</t>
  </si>
  <si>
    <t>2.2.1.9.9</t>
  </si>
  <si>
    <t>Прокладка трубопроводов водоснабжения из напорных полиэтиленовых труб низкого давления среднего типа наружным диаметром 110 мм</t>
  </si>
  <si>
    <t>2.2.2</t>
  </si>
  <si>
    <t>Ремонт, замена, проверка приборов учета воды</t>
  </si>
  <si>
    <t>2.2.2.1</t>
  </si>
  <si>
    <t>Ремонт приборов учета воды</t>
  </si>
  <si>
    <t>2.2.2.1.9</t>
  </si>
  <si>
    <t>Обслуживание преобразователя расхода от 50 до  100 мм</t>
  </si>
  <si>
    <t>1 преобразователь расхода</t>
  </si>
  <si>
    <t>2.2.2.2</t>
  </si>
  <si>
    <t>Замена прибора учета воды</t>
  </si>
  <si>
    <t>2.2.2.2.1</t>
  </si>
  <si>
    <t>Замена прибора учета воды с фильтром</t>
  </si>
  <si>
    <t>Счетчик воды</t>
  </si>
  <si>
    <t>2.2.2.2.2</t>
  </si>
  <si>
    <t>Замена прибора учета воды без фильтра</t>
  </si>
  <si>
    <t>2.2.3</t>
  </si>
  <si>
    <t>Ремонт  бойлеров,  котлов  подготовки  горячей воды</t>
  </si>
  <si>
    <t>2.2.3.1</t>
  </si>
  <si>
    <t>Проверка и ремонт  водяных теплообменников и водонагревателей</t>
  </si>
  <si>
    <t>2.2.3.1.3</t>
  </si>
  <si>
    <t>Теплообменник (водонагреватель)  поверхностью нагрева  до 25 кв.м</t>
  </si>
  <si>
    <t>1  теплообменник (бойлер)</t>
  </si>
  <si>
    <t>2.2.3.2</t>
  </si>
  <si>
    <t>Специальные работы и изготовление деталей</t>
  </si>
  <si>
    <t>2.2.3.2.2</t>
  </si>
  <si>
    <t>Очистка труб от накипи с двух сторон или райберовка отверстий трубной доски</t>
  </si>
  <si>
    <t>труба (отверстие)</t>
  </si>
  <si>
    <t>2.2.3.4</t>
  </si>
  <si>
    <t>Снятие и установка корпуса теплообменника</t>
  </si>
  <si>
    <t>корпус</t>
  </si>
  <si>
    <t>2.2.3.6</t>
  </si>
  <si>
    <t>Замена дефектных трубок пучка</t>
  </si>
  <si>
    <t>2.2.3.6.2</t>
  </si>
  <si>
    <t>Замена дефектных трубок пучка теплообменника с поверхностью нагрева до 75 кв.м</t>
  </si>
  <si>
    <t>1 трубка</t>
  </si>
  <si>
    <t>2.2.3.8</t>
  </si>
  <si>
    <t>Гидравлическое испытание теплообменника</t>
  </si>
  <si>
    <t>2.2.3.8.2</t>
  </si>
  <si>
    <t>Гидравлическое испытание теплообменника (водонагревателя)  поверхностью нагрева  до 75 кв.м</t>
  </si>
  <si>
    <t>1 теплообменник (бойлер)</t>
  </si>
  <si>
    <t>2.2.3.9</t>
  </si>
  <si>
    <t>Замена трубчатого или змеевикового  теплообменного аппарата</t>
  </si>
  <si>
    <t>2.2.3.9.1</t>
  </si>
  <si>
    <t>Замена трубчатого или змеевикового  теплообменного аппарата при весе пучка до 100 кг</t>
  </si>
  <si>
    <t>2.2.4</t>
  </si>
  <si>
    <t>Теплоизоляция сетей  горячего  водоснабжения</t>
  </si>
  <si>
    <t>100 м2 утепленного участка</t>
  </si>
  <si>
    <t>2.2.5</t>
  </si>
  <si>
    <t>Окраска  сетей и  устройств  горячего  водоснабжения</t>
  </si>
  <si>
    <t>2.2.5.1</t>
  </si>
  <si>
    <t>Окраска масляными составами ранее окрашенных поверхностей стальных труб</t>
  </si>
  <si>
    <t>2.2.5.1.2</t>
  </si>
  <si>
    <t>Окраска масляными составами ранее окрашенных поверхностей  стальных труб горячего водоснабжения за 2 раза</t>
  </si>
  <si>
    <t>100 м2 окрашиваемой поверхности</t>
  </si>
  <si>
    <t>2.2.6</t>
  </si>
  <si>
    <t>Ремонт оборудования, приборов и арматуры водопроводной сети общего пользования</t>
  </si>
  <si>
    <t>2.2.6.1</t>
  </si>
  <si>
    <t>Смена вентилей и клапанов обратных муфтовых диаметром до 20 мм</t>
  </si>
  <si>
    <t>100 шт.</t>
  </si>
  <si>
    <t>2.2.6.2</t>
  </si>
  <si>
    <t>Смена вентилей и клапанов обратных муфтовых диаметром до 32  мм</t>
  </si>
  <si>
    <t>2.2.6.3</t>
  </si>
  <si>
    <t>Смена вентилей и клапанов обратных муфтовых диаметром до 50  мм</t>
  </si>
  <si>
    <t>2.2.6.4</t>
  </si>
  <si>
    <t>Смена задвижек диаметром до 50 мм</t>
  </si>
  <si>
    <t>2.2.6.5</t>
  </si>
  <si>
    <t>Смена задвижек диаметром до 100 мм</t>
  </si>
  <si>
    <t>2.3</t>
  </si>
  <si>
    <t>Система водоотведения</t>
  </si>
  <si>
    <t>2.3.1</t>
  </si>
  <si>
    <t>Смена отдельных участков трубопроводов канализации из полиэтиленовых труб высокой плотности</t>
  </si>
  <si>
    <t>2.3.1.1</t>
  </si>
  <si>
    <t>Смена горизонтальных участков трубопроводов канализации из полиэтиленовых труб высокой плотности диаметром 50 мм</t>
  </si>
  <si>
    <t>2.3.1.2</t>
  </si>
  <si>
    <t>Смена горизонтальных участков трубопроводов канализации из полиэтиленовых труб высокой плотности диаметром 100 мм</t>
  </si>
  <si>
    <t>2.3.1.3</t>
  </si>
  <si>
    <t>Смена вертикальных участков трубопроводов канализации из полиэтиленовых труб высокой плотности диаметром 50 мм</t>
  </si>
  <si>
    <t>2.3.1.4</t>
  </si>
  <si>
    <t>Смена вертикальных участков трубопроводов канализации из полиэтиленовых труб высокой плотности диаметром 100 мм</t>
  </si>
  <si>
    <t>2.3.2</t>
  </si>
  <si>
    <t>Смена отдельных участков внутренних чугунных канализационных труб и выпусков</t>
  </si>
  <si>
    <t>2.3.2.1</t>
  </si>
  <si>
    <t>Смена отдельных участков  чугунных труб и внутренних чугунных канализационных выпусков при диаметре канализационного выпуска 50 мм</t>
  </si>
  <si>
    <t>2.3.2.2</t>
  </si>
  <si>
    <t>Смена отдельных участков чугунных труб и  внутренних чугунных канализационных выпусков при диаметре канализационного выпуска 100 мм</t>
  </si>
  <si>
    <t>2.3.3</t>
  </si>
  <si>
    <t>Подчеканка раструбов канализационных труб</t>
  </si>
  <si>
    <t>2.3.3.3</t>
  </si>
  <si>
    <t>Подчеканка раструбов чугунных канализационных труб</t>
  </si>
  <si>
    <t>2.3.3.3.1</t>
  </si>
  <si>
    <t>Подчеканка раструбов чугунных  канализационных труб диаметром до 50 мм</t>
  </si>
  <si>
    <t>100  раструбов</t>
  </si>
  <si>
    <t>2.3.4</t>
  </si>
  <si>
    <t>Устранение засоров внутренних канализационных трубопроводов</t>
  </si>
  <si>
    <t>100 м трубы</t>
  </si>
  <si>
    <t>2.3.5</t>
  </si>
  <si>
    <t>Заделка стыков соединений стояков внутренних водостоков</t>
  </si>
  <si>
    <t>100 соединений</t>
  </si>
  <si>
    <t>2.3.7</t>
  </si>
  <si>
    <t>Набивка сальников компенсационных патрубков на стояках внутренних водостоков</t>
  </si>
  <si>
    <t>100 патрубков</t>
  </si>
  <si>
    <t>2.3.8</t>
  </si>
  <si>
    <t>Очистка стальной щеткой старых чугунных труб и фасонных частей от нароста и грязи</t>
  </si>
  <si>
    <t>2.3.8.1</t>
  </si>
  <si>
    <t>Очистка стальной щеткой старых чугунных труб и фасонных частей от нароста и грязи при диаметре трубопровода до 50 мм</t>
  </si>
  <si>
    <t>1 м трубопровода</t>
  </si>
  <si>
    <t>2.3.8.3</t>
  </si>
  <si>
    <t>Очистка стальной щеткой старых чугунных труб и фасонных частей от нароста и грязи при диаметре трубопровода до 100 мм</t>
  </si>
  <si>
    <t>2.3.9</t>
  </si>
  <si>
    <t>Окраска масляными составами ранее окрашенных поверхностей стальных и чугунных труб</t>
  </si>
  <si>
    <t>2.3.9.2</t>
  </si>
  <si>
    <t>Окраска масляными составами ранее окрашенных поверхностей  чугунных труб за 2 раза</t>
  </si>
  <si>
    <t>2.3.11</t>
  </si>
  <si>
    <t>Разборка трубопроводов из чугунных канализационных труб</t>
  </si>
  <si>
    <t>2.3.11.1</t>
  </si>
  <si>
    <t>Разборка трубопроводов из чугунных канализационных труб диаметром 50 мм</t>
  </si>
  <si>
    <t>100 м трубопровода с фасонными частями</t>
  </si>
  <si>
    <t>2.3.11.2</t>
  </si>
  <si>
    <t>Разборка трубопроводов из чугунных канализационных труб диаметром 100 мм</t>
  </si>
  <si>
    <t>2.6.11</t>
  </si>
  <si>
    <t>Проведение технических осмотров и устранение незначительных неисправностей в  системах водоснабжения и  водоотведения</t>
  </si>
  <si>
    <t>2.6.11.1</t>
  </si>
  <si>
    <t>Осмотр водопровода, канализации и горячего водоснабжения</t>
  </si>
  <si>
    <t>100 квартир</t>
  </si>
  <si>
    <t>2.6.11.2</t>
  </si>
  <si>
    <t>Промывка участка водопровода</t>
  </si>
  <si>
    <t>100 куб.м. здания</t>
  </si>
  <si>
    <t>2.6.11.3</t>
  </si>
  <si>
    <t>Прочистка канализационного лежака</t>
  </si>
  <si>
    <t>100 м канализационного лежака</t>
  </si>
  <si>
    <t>2.6.11.4</t>
  </si>
  <si>
    <t>Проверка исправности  канализационных  вытяжек</t>
  </si>
  <si>
    <t>2.6.15</t>
  </si>
  <si>
    <t>Проверка и ремонт коллективных приборов  учета</t>
  </si>
  <si>
    <t>2.6.15.1</t>
  </si>
  <si>
    <t>Проверка и обслуживание приборов учета воды диаметром 25-40 мм</t>
  </si>
  <si>
    <t>2.6.15.1.1</t>
  </si>
  <si>
    <t>Визуальный осмотр узла учета и проверка наличия и нарушения пломб (прибор учета воды диаметром 25-40 мм)</t>
  </si>
  <si>
    <t>1 прибор учета</t>
  </si>
  <si>
    <t>2.6.15.1.2</t>
  </si>
  <si>
    <t>Снятие и запись показаний с вычислителя в журнал (прибор учета воды диаметром 25-40 мм)</t>
  </si>
  <si>
    <t>2.6.15.1.3</t>
  </si>
  <si>
    <t>Составление акта (при нарушении правил эксплуатации прибора учета воды диаметром 25-40 мм) с представителями абонента и поставщиком</t>
  </si>
  <si>
    <t>2.6.15.1.4</t>
  </si>
  <si>
    <t>Проверка работоспособности запорной арматуры и очистка фильтров (приборов учета воды диаметром 25-40 мм)</t>
  </si>
  <si>
    <t>1 фильтр</t>
  </si>
  <si>
    <t>2.6.15.1.5</t>
  </si>
  <si>
    <t>Установка фильтра для очистки воды (приборов учета воды диаметром 25-40 мм)</t>
  </si>
  <si>
    <t>2.6.15.1.6</t>
  </si>
  <si>
    <t>Запуск воды с общего вентиля к счетчику (приборов учета воды диаметром 25-40 мм)</t>
  </si>
  <si>
    <t>2.6.15.1.7</t>
  </si>
  <si>
    <t>При отказе или неисправной работе прибора учета воды диаметром 25-40 мм - поиск неисправностей</t>
  </si>
  <si>
    <t>2.6.15.1.8</t>
  </si>
  <si>
    <t>Проверка работоспособности водозапорной арматуры приборов учета воды диаметром 25-40 мм</t>
  </si>
  <si>
    <t>2.6.15.2</t>
  </si>
  <si>
    <t>Проверка и обслуживание коллективных приборов учета воды диаметром 50-250 мм</t>
  </si>
  <si>
    <t>2.6.15.2.1</t>
  </si>
  <si>
    <t>Визуальный осмотр прибора учета воды диаметром 50-250 мм и проверка наличия и нарушения пломб</t>
  </si>
  <si>
    <t>2.6.15.2.2</t>
  </si>
  <si>
    <t>Снятие и запись показаний с вычислителя в журнал (приборов учета воды диаметром 50-250 мм)</t>
  </si>
  <si>
    <t>2.6.15.2.3</t>
  </si>
  <si>
    <t>Составление акта (при нарушении правил эксплуатации прибора учета воды диаметром 50-250 мм)</t>
  </si>
  <si>
    <t>2.6.15.2.4</t>
  </si>
  <si>
    <t>Проверка работоспособности запорной арматуры и очистка фильтров приборов учета воды диаметром 50-250 мм</t>
  </si>
  <si>
    <t>2.6.15.2.5</t>
  </si>
  <si>
    <t>Установка фильтра для очистки воды (приборов учета воды диаметром 50-250 мм)</t>
  </si>
  <si>
    <t>2.6.15.2.6</t>
  </si>
  <si>
    <t>Запуск воды с общего вентиля к счетчику (прибор учета воды диаметром 50-250 мм)</t>
  </si>
  <si>
    <t>2.6.15.2.7</t>
  </si>
  <si>
    <t>При отказе или неисправной работе прибора учета воды диаметром 50-250 мм - поиск неисправностей</t>
  </si>
  <si>
    <t>2.6.15.2.8</t>
  </si>
  <si>
    <t>Проверка работоспособности водозапорной арматуры приборов учета воды диаметром 50-250 мм</t>
  </si>
  <si>
    <t>2.7</t>
  </si>
  <si>
    <t>Устранение аварии и выполнение заявок населения</t>
  </si>
  <si>
    <t>2.7.2</t>
  </si>
  <si>
    <t>Устранение аварии на внутридомовых инженерных сетях и выполнение заявок населения (в домах, не оборудованных газовыми плитами)</t>
  </si>
  <si>
    <t>2.7.2.3</t>
  </si>
  <si>
    <t>Устранение аварии на внутридомовых инженерных сетях при сроке эксплуатации многоквартирного дома от 31 до 50 лет</t>
  </si>
  <si>
    <t>1000 м2  общей площади жилых помещений, не оборудованных газовыми плитами (в год для одной смены)</t>
  </si>
  <si>
    <t>2.4</t>
  </si>
  <si>
    <t>Система газоснабжения</t>
  </si>
  <si>
    <t>2.4.1</t>
  </si>
  <si>
    <t>Ремонт внутридомовых сетей  газоснабжения</t>
  </si>
  <si>
    <t>2.4.1.1</t>
  </si>
  <si>
    <t>Техническое обслуживание внутридомовых газопроводов</t>
  </si>
  <si>
    <t>2.4.1.1.2</t>
  </si>
  <si>
    <t>Техническое обслуживание внутридомовых газопроводов диаметром 25-50 мм</t>
  </si>
  <si>
    <t>100 пог. м.</t>
  </si>
  <si>
    <t>2.4.1.1.3</t>
  </si>
  <si>
    <t>Техническое обслуживание внутридомовых газопроводов диаметром 50-75 мм</t>
  </si>
  <si>
    <t>2.4.1.2</t>
  </si>
  <si>
    <t>Устранение неплотности соединений газопровода</t>
  </si>
  <si>
    <t>2.4.1.2.2</t>
  </si>
  <si>
    <t>Устранение неплотности соединений газопровода диаметром 25 мм</t>
  </si>
  <si>
    <t>1 соединение</t>
  </si>
  <si>
    <t>2.4.1.2.3</t>
  </si>
  <si>
    <t>Устранение неплотности соединений газопровода диаметром 32 мм</t>
  </si>
  <si>
    <t>2.4.1.2.4</t>
  </si>
  <si>
    <t>Устранение неплотности соединений газопровода диаметром 40 мм</t>
  </si>
  <si>
    <t>2.4.1.2.5</t>
  </si>
  <si>
    <t>Устранение неплотности соединений газопровода диаметром 50 мм</t>
  </si>
  <si>
    <t>2.4.1.3</t>
  </si>
  <si>
    <t>Замена газового крана</t>
  </si>
  <si>
    <t>2.4.1.3.2</t>
  </si>
  <si>
    <t>Замена газового крана диаметром 25 и 32 мм</t>
  </si>
  <si>
    <t>1 кран</t>
  </si>
  <si>
    <t>2.4.1.4</t>
  </si>
  <si>
    <t>Ремонт неисправного участка газопровода</t>
  </si>
  <si>
    <t>2.4.1.4.1</t>
  </si>
  <si>
    <t>Ремонт неисправного участка газопровода диаметром 15 мм</t>
  </si>
  <si>
    <t>1 участок</t>
  </si>
  <si>
    <t>2.4.1.4.2</t>
  </si>
  <si>
    <t>Ремонт неисправного участка газопровода диаметром 25 и 32 мм</t>
  </si>
  <si>
    <t>2.4.1.4.3</t>
  </si>
  <si>
    <t>Ремонт неисправного участка газопровода диаметром 40 мм</t>
  </si>
  <si>
    <t>2.4.1.4.4</t>
  </si>
  <si>
    <t>Ремонт неисправного участка газопровода диаметром 50 мм</t>
  </si>
  <si>
    <t>2.4.1.5</t>
  </si>
  <si>
    <t>Проверка работоспособности и смазка отключающих устройств</t>
  </si>
  <si>
    <t>1 устройство</t>
  </si>
  <si>
    <t>2.4.2</t>
  </si>
  <si>
    <t>Внутридомовое и (или) внутриквартирное газовое оборудование</t>
  </si>
  <si>
    <t>2.4.2.3</t>
  </si>
  <si>
    <t>Визуальная проверка (осмотр) газового оборудования</t>
  </si>
  <si>
    <t>1 оборудование</t>
  </si>
  <si>
    <t>2.4.2.4</t>
  </si>
  <si>
    <t>Проверка герметичности соединений и отключающих устройств</t>
  </si>
  <si>
    <t>2.4.2.5</t>
  </si>
  <si>
    <t>Разборка и смазка кранов</t>
  </si>
  <si>
    <t>2.4.2.8</t>
  </si>
  <si>
    <t>Инструктаж потребителей газа по безопасному использованию газа при удовлетворении коммунально-бытовых нужд</t>
  </si>
  <si>
    <t>1 квартира</t>
  </si>
  <si>
    <t>2.4.2.9</t>
  </si>
  <si>
    <t>Техническое обслуживание внутридомового газового оборудования домовладений и многоквартирных домов</t>
  </si>
  <si>
    <t>2.4.2.9.3</t>
  </si>
  <si>
    <t>Проверка герметичности внутридомового газопровода и технологических устройств на нем при количестве приборов на одном стояке 11-15 шт.</t>
  </si>
  <si>
    <t>стояк</t>
  </si>
  <si>
    <t>2.4.2.9.5</t>
  </si>
  <si>
    <t>Проверка на герметичность фланцевых, резьбовых соединений и сварных стыков на газопроводе в подъезде здания при диаметре до 32 мм</t>
  </si>
  <si>
    <t>10 шт.</t>
  </si>
  <si>
    <t>2.4.2.9.6</t>
  </si>
  <si>
    <t>Проверка на герметичность фланцевых, резьбовых соединений и сварных стыков на газопроводе в подъезде здания при диаметре 33 - 40 мм</t>
  </si>
  <si>
    <t>2.4.2.9.7</t>
  </si>
  <si>
    <t>Проверка на герметичность фланцевых, резьбовых соединений и сварных стыков на газопроводе в подъезде здания при диаметре 41 - 50 мм</t>
  </si>
  <si>
    <t>2.4.2.9.8</t>
  </si>
  <si>
    <t>Проверка герметичности фасадного газопровода</t>
  </si>
  <si>
    <t>м</t>
  </si>
  <si>
    <t>2.4.2.9.11</t>
  </si>
  <si>
    <t>Обход и осмотр трассы наружного (подземного, надземного) газопровода</t>
  </si>
  <si>
    <t>км</t>
  </si>
  <si>
    <t>2.4.2.9.15</t>
  </si>
  <si>
    <t>Техническое обслуживание внутридомового газопровода</t>
  </si>
  <si>
    <t>1 погонный метр</t>
  </si>
  <si>
    <t>2.4.2.10</t>
  </si>
  <si>
    <t>Проверка подвального помещения на загазованность</t>
  </si>
  <si>
    <t>1 помещение</t>
  </si>
  <si>
    <t>Диагностирование внутридомового и внутриквартирного газового оборудования</t>
  </si>
  <si>
    <t>1.11</t>
  </si>
  <si>
    <t>Печи</t>
  </si>
  <si>
    <t>1.11.1</t>
  </si>
  <si>
    <t>Ликвидация  неравномерного нагрева  поверхностей</t>
  </si>
  <si>
    <t>1.11.1.1</t>
  </si>
  <si>
    <t>Прочистка дымохода</t>
  </si>
  <si>
    <t>1.11.1.1.1</t>
  </si>
  <si>
    <t>Прочистка дымохода из кирпича горизонтального</t>
  </si>
  <si>
    <t>100 м</t>
  </si>
  <si>
    <t>1.11.4</t>
  </si>
  <si>
    <t>Перекладка  печей</t>
  </si>
  <si>
    <t>1.11.4.1</t>
  </si>
  <si>
    <t>Перекладка дымовых труб</t>
  </si>
  <si>
    <t>1.11.4.1.3</t>
  </si>
  <si>
    <t>Перекладка дымовых труб под крышей с добавлением нового кирпича до 50 % в один канал</t>
  </si>
  <si>
    <t xml:space="preserve">100 м трубы </t>
  </si>
  <si>
    <t>2.8</t>
  </si>
  <si>
    <t>Антенное оборудование, сети радио-, телефонные, иные  коммуникационные сети</t>
  </si>
  <si>
    <t>2.8.1</t>
  </si>
  <si>
    <t>Ремонт, установка радио- и телевизионных антенн</t>
  </si>
  <si>
    <t>2.8.1.2</t>
  </si>
  <si>
    <t>Ремонт антенны</t>
  </si>
  <si>
    <t>2.8.1.2.3</t>
  </si>
  <si>
    <t>Ремонт приемной телевизионной антенны метрового диапазона волн, многоканальной, одно-двухэлементной</t>
  </si>
  <si>
    <t>1 антенна</t>
  </si>
  <si>
    <t>2.8.2</t>
  </si>
  <si>
    <t>Обслуживание  антенного  оборудования</t>
  </si>
  <si>
    <t>1000 кв.м.</t>
  </si>
  <si>
    <t>2.8.3</t>
  </si>
  <si>
    <t>Ремонт,  замена  антенного  оборудования</t>
  </si>
  <si>
    <t>2.8.3.1</t>
  </si>
  <si>
    <t>Ремонт (замена) кабеля снижения приемной антенны</t>
  </si>
  <si>
    <t>1.1</t>
  </si>
  <si>
    <t>Фундаменты</t>
  </si>
  <si>
    <t>1.1.4</t>
  </si>
  <si>
    <t>Прочистка внутридомовых и наружных  дренажей</t>
  </si>
  <si>
    <t>1 пролет</t>
  </si>
  <si>
    <t>1.1.8</t>
  </si>
  <si>
    <t>Восстановление (ремонт)  решеток на  продухах  фундамента</t>
  </si>
  <si>
    <t>100 решеток</t>
  </si>
  <si>
    <t>1.1.9</t>
  </si>
  <si>
    <t>Восстановление (ремонт)  приямков</t>
  </si>
  <si>
    <t>кв.м. приямка</t>
  </si>
  <si>
    <t>1.1.10</t>
  </si>
  <si>
    <t>Восстановление (ремонт) отмостки</t>
  </si>
  <si>
    <t>100 м2 отмостки</t>
  </si>
  <si>
    <t>1.1.12</t>
  </si>
  <si>
    <t>Восстановление (ремонт) вводов инженерных коммуникаций   в подвальные  помещения  через  фундаменты</t>
  </si>
  <si>
    <t>1.1.14</t>
  </si>
  <si>
    <t>Заделка на зиму вентиляционных продухов</t>
  </si>
  <si>
    <t>1 место</t>
  </si>
  <si>
    <t>1.2</t>
  </si>
  <si>
    <t>Кирпичные, каменные и железобетонные стены</t>
  </si>
  <si>
    <t>1.2.1</t>
  </si>
  <si>
    <t>Устранение повреждений стен, в том числе в подвалах и чердаках</t>
  </si>
  <si>
    <t>1.2.1.1</t>
  </si>
  <si>
    <t>Устранение  повреждений кирпичных  стен, в том  числе в  подвалах и  чердаках</t>
  </si>
  <si>
    <t>1.2.1.1.4</t>
  </si>
  <si>
    <t>Ремонт кирпичной кладки карниза (с выносом в 2 1/2 кирпича)</t>
  </si>
  <si>
    <t>1 м3 кладки</t>
  </si>
  <si>
    <t>1.2.1.1.5</t>
  </si>
  <si>
    <t>Ремонт поверхности кирпичных стен</t>
  </si>
  <si>
    <t>1.2.1.1.5.1</t>
  </si>
  <si>
    <t>Ремонт поверхности кирпичных стен с расшивкой швов и толщиной заделки до 1/2 кирпича</t>
  </si>
  <si>
    <t>100 м2 отремонтированной поверхности</t>
  </si>
  <si>
    <t>1.2.1.1.5.2</t>
  </si>
  <si>
    <t>Ремонт поверхности кирпичных стен с расшивкой швов и толщиной заделки до 1 кирпича</t>
  </si>
  <si>
    <t>1.2.1.1.5.5</t>
  </si>
  <si>
    <t>Заделка борозд в кирпичных стенах</t>
  </si>
  <si>
    <t>1.2.1.1.5.5.3</t>
  </si>
  <si>
    <t>Заделка борозд в кирпичных стенах с сечением борозд  в кирпичах 1х1,5</t>
  </si>
  <si>
    <t>100 м борозды</t>
  </si>
  <si>
    <t>1.2.1.1.5.8</t>
  </si>
  <si>
    <t>Ремонт наружных углов кирпичных стен</t>
  </si>
  <si>
    <t>1.2.1.1.5.8.1</t>
  </si>
  <si>
    <t>Ремонт наружных углов кирпичных стен при толщине заделки до 1/2 кирпича</t>
  </si>
  <si>
    <t>100 м2  отремонтированной поверхности</t>
  </si>
  <si>
    <t>1.2.1.1.5.8.2</t>
  </si>
  <si>
    <t>Ремонт наружных углов кирпичных стен при толщине заделки до 1  кирпича</t>
  </si>
  <si>
    <t>1.2.5</t>
  </si>
  <si>
    <t>Восстановление несущей способности  стен</t>
  </si>
  <si>
    <t>1.2.5.6</t>
  </si>
  <si>
    <t>Усиление кирпичных стен металлическими тяжами</t>
  </si>
  <si>
    <t>на 1 т металлических тяжей</t>
  </si>
  <si>
    <t>1.2.9</t>
  </si>
  <si>
    <t>Восстановление (ремонт) разрушений и  повреждений отделочного   слоя</t>
  </si>
  <si>
    <t>1.2.9.4</t>
  </si>
  <si>
    <t>Ремонт обыкновенной штукатурки кирпичных и бетонных фасадов</t>
  </si>
  <si>
    <t>1.2.9.4.1</t>
  </si>
  <si>
    <t>Ремонт обыкновенной штукатурки гладких каменных фасадов</t>
  </si>
  <si>
    <t>1.2.9.4.2</t>
  </si>
  <si>
    <t>Ремонт обыкновенной штукатурки гладких бетонных  фасадов</t>
  </si>
  <si>
    <t>1.2.12</t>
  </si>
  <si>
    <t>Окраска  фасадов</t>
  </si>
  <si>
    <t>1.2.12.4</t>
  </si>
  <si>
    <t>Окрашивание фасадов силикатными красками</t>
  </si>
  <si>
    <t>1.2.12.4.1</t>
  </si>
  <si>
    <t>Окрашивание гладких кирпичных фасадов силикатными красками</t>
  </si>
  <si>
    <t>100 м2 обработанной поверхности</t>
  </si>
  <si>
    <t>1.2.17</t>
  </si>
  <si>
    <t>Окраска стен  помещений  общего  пользования</t>
  </si>
  <si>
    <t>1.2.17.4</t>
  </si>
  <si>
    <t>Окрашивание поверхностей стен водоэмульсионными составами</t>
  </si>
  <si>
    <t>1.2.17.4.3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</si>
  <si>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</si>
  <si>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1.2.18</t>
  </si>
  <si>
    <t>Внутренняя отделка зданий</t>
  </si>
  <si>
    <t>1.2.18.1</t>
  </si>
  <si>
    <t>Ремонт внутренней штукатурки потолков отдельными местами</t>
  </si>
  <si>
    <t>100 кв. м</t>
  </si>
  <si>
    <t>1.2.18.3</t>
  </si>
  <si>
    <t>Перетирка штукатурки поверхности потолков</t>
  </si>
  <si>
    <t>100 кв.м</t>
  </si>
  <si>
    <t>1.2.18.11</t>
  </si>
  <si>
    <t>Окрашивание водоэмульсионными составами поверхностей потолков, ранее окрашенных водоэмульсионной краской с расчисткой старой краски более 35%</t>
  </si>
  <si>
    <t>1.2.18.12</t>
  </si>
  <si>
    <t>Перетирка штукатурки поверхностей стен и перегородок</t>
  </si>
  <si>
    <t>100 м2 поверхности</t>
  </si>
  <si>
    <t>1.2.19</t>
  </si>
  <si>
    <t>Установка групповых металлических почтовых ящиков на 6 отделений</t>
  </si>
  <si>
    <t>1 ящик</t>
  </si>
  <si>
    <t>1.5</t>
  </si>
  <si>
    <t>Перекрытия</t>
  </si>
  <si>
    <t>1.5.1</t>
  </si>
  <si>
    <t>Устранение  повреждений перекрытий</t>
  </si>
  <si>
    <t>1.5.1.2</t>
  </si>
  <si>
    <t>Заделка борозд в бетонных перекрытиях</t>
  </si>
  <si>
    <t>1.5.1.2.3</t>
  </si>
  <si>
    <t>Заделка борозд на потолках  бетонных перекрытий при сечении 10х10</t>
  </si>
  <si>
    <t>1 м3 заделки</t>
  </si>
  <si>
    <t>1.5.6</t>
  </si>
  <si>
    <t>Ремонт  перекрытий,  пораженных  древесными  домовыми  грибками  и/или  дереворазрушающими  насекомыми</t>
  </si>
  <si>
    <t>1.5.6.2</t>
  </si>
  <si>
    <t>Антисептирование древесины с перерывом на просушку</t>
  </si>
  <si>
    <t>1.5.6.2.5</t>
  </si>
  <si>
    <t>Антисептирование древесины  маслянистыми антисептиками в два слоя</t>
  </si>
  <si>
    <t>1.6</t>
  </si>
  <si>
    <t>Полы</t>
  </si>
  <si>
    <t>1.6.1</t>
  </si>
  <si>
    <t>Устранение  повреждений  полов в  местах  общего  пользования  многоквартирного дома</t>
  </si>
  <si>
    <t>1.6.1.1</t>
  </si>
  <si>
    <t>Заделка выбоин в цементных полах</t>
  </si>
  <si>
    <t>кв.м.</t>
  </si>
  <si>
    <t>1.6.4</t>
  </si>
  <si>
    <t>Ремонт полов</t>
  </si>
  <si>
    <t>1.6.4.4</t>
  </si>
  <si>
    <t>Ремонт бетонных полов</t>
  </si>
  <si>
    <t>1.6.4.5</t>
  </si>
  <si>
    <t>Ремонт поверхности цементных полов</t>
  </si>
  <si>
    <t>1.7</t>
  </si>
  <si>
    <t>Перегородки</t>
  </si>
  <si>
    <t>1.7.1</t>
  </si>
  <si>
    <t>Восстановление (ремонт),  модернизация  звукоизоляционных  свойств   перегородок</t>
  </si>
  <si>
    <t>1.7.1.5</t>
  </si>
  <si>
    <t>Заделка трещин, отверстий в кирпичных перегородках цементным раствором</t>
  </si>
  <si>
    <t>10 м трещин</t>
  </si>
  <si>
    <t>1.7.1.8</t>
  </si>
  <si>
    <t>Смена поврежденной обшивки перегородок звукоизоляционными плитами</t>
  </si>
  <si>
    <t>100 кв.м.</t>
  </si>
  <si>
    <t>1.7.4</t>
  </si>
  <si>
    <t>Устранение  повреждений  перегородок,  ликвидация  излишнего  наклона или  выпучивания  перегородок</t>
  </si>
  <si>
    <t>1.7.4.7</t>
  </si>
  <si>
    <t>Укрепление слабодержащихся кирпичей</t>
  </si>
  <si>
    <t> 1 м2  отремонтированной поверхности </t>
  </si>
  <si>
    <t>1.7.5</t>
  </si>
  <si>
    <t>Восстановление  облицовки  перегородок</t>
  </si>
  <si>
    <t>1.7.5.7</t>
  </si>
  <si>
    <t>Восстановление (ремонт) штукатурки кирпичных, железобетонных и гипсокартонных перегородок цементно-известковым раствором площадью отдельных мест до 1 кв.м.</t>
  </si>
  <si>
    <t>1.8</t>
  </si>
  <si>
    <t>Крыши и кровли</t>
  </si>
  <si>
    <t>1.8.1</t>
  </si>
  <si>
    <t>Устранение протечек кровли</t>
  </si>
  <si>
    <t>1.8.1.3</t>
  </si>
  <si>
    <t>Устранение  протечек рулонной кровли</t>
  </si>
  <si>
    <t>1.8.1.3.1</t>
  </si>
  <si>
    <t>Постановка заплат на покрытия из мягкой кровли</t>
  </si>
  <si>
    <t>100 м2 покрытий</t>
  </si>
  <si>
    <t>1.8.2</t>
  </si>
  <si>
    <t>Ремонт, модернизация кровли и крыши</t>
  </si>
  <si>
    <t>1.8.2.2</t>
  </si>
  <si>
    <t>Ремонт, модернизация рулонной кровли</t>
  </si>
  <si>
    <t>1.8.2.2.1</t>
  </si>
  <si>
    <t>Смена мягкой кровли в два слоя отдельными местами</t>
  </si>
  <si>
    <t>100 м2 сменяемого покрытия</t>
  </si>
  <si>
    <t>1.8.2.2.2</t>
  </si>
  <si>
    <t>Смена стальных разжелобков в рулонных  кровлях</t>
  </si>
  <si>
    <t>100 м разжелобка</t>
  </si>
  <si>
    <t>1.8.6</t>
  </si>
  <si>
    <t>Восстановление (ремонт)  продухов  вентиляции</t>
  </si>
  <si>
    <t>1.8.6.1</t>
  </si>
  <si>
    <t>Смена вентиляционной решетки</t>
  </si>
  <si>
    <t>10 решеток</t>
  </si>
  <si>
    <t>1.8.6.2</t>
  </si>
  <si>
    <t>Ремонт продухов вентиляции</t>
  </si>
  <si>
    <t>1.8.6.3</t>
  </si>
  <si>
    <t>Окраска продухов вентиляции</t>
  </si>
  <si>
    <t>1.8.7</t>
  </si>
  <si>
    <t>Восстановление (ремонт) дымовых и  вентиляционных труб</t>
  </si>
  <si>
    <t>1.8.7.6</t>
  </si>
  <si>
    <t>Оштукатуривание поверхности дымовых труб</t>
  </si>
  <si>
    <t xml:space="preserve">100 м2 поверхности </t>
  </si>
  <si>
    <t>1.8.9</t>
  </si>
  <si>
    <t>Восстановление (ремонт) выходов на крышу</t>
  </si>
  <si>
    <t>1.8.9.2</t>
  </si>
  <si>
    <t>Окраска деревянных лестниц и  дверей выхода на крышу</t>
  </si>
  <si>
    <t>100 м2 окрашенной поверхности</t>
  </si>
  <si>
    <t>1.8.9.3</t>
  </si>
  <si>
    <t>1.8.10</t>
  </si>
  <si>
    <t>Восстановление (ремонт) парапетов, архитектурных деталей и т.д.</t>
  </si>
  <si>
    <t>1.8.10.1</t>
  </si>
  <si>
    <t>Смена покрытия  парапетов или брандмауэров без обделки боковых сторон при ширине покрытия до 1 м</t>
  </si>
  <si>
    <t>1.8.10.3</t>
  </si>
  <si>
    <t>Смена покрытия   зонтов и козырьков над крыльцами и подъездами</t>
  </si>
  <si>
    <t>100 м2 объема работ</t>
  </si>
  <si>
    <t>1.8.12</t>
  </si>
  <si>
    <t>Ремонт примыканий и заделка стыков</t>
  </si>
  <si>
    <t>1.8.12.1</t>
  </si>
  <si>
    <t>Смена обделок примыканий из листовой стали к каменным стенам</t>
  </si>
  <si>
    <t>1.8.12.4</t>
  </si>
  <si>
    <t>Смена обделок примыканий из листовой стали к  вытяжным  трубам длиной до 1 м</t>
  </si>
  <si>
    <t>100 труб</t>
  </si>
  <si>
    <t>1.8.13</t>
  </si>
  <si>
    <t>Ремонт, утепление дверей с лестничных площадок на чердак</t>
  </si>
  <si>
    <t>1.8.13.1</t>
  </si>
  <si>
    <t>Масляная окраска ранее окрашенных поверхностей</t>
  </si>
  <si>
    <t>1.8.13.2</t>
  </si>
  <si>
    <t>Восстановление тепловой изоляции дверей</t>
  </si>
  <si>
    <t>100 дверей</t>
  </si>
  <si>
    <t>1.8.13.3</t>
  </si>
  <si>
    <t>Замена обивки дверей стальным листом</t>
  </si>
  <si>
    <t>100  м2 двери</t>
  </si>
  <si>
    <t>1.8.14</t>
  </si>
  <si>
    <t>Утепление кровли</t>
  </si>
  <si>
    <t>1.8.14.2</t>
  </si>
  <si>
    <t>Утепление покрытий плитами из минеральной ваты или перлита на битумной мастике на каждый последующий слой толщиной 50 мм</t>
  </si>
  <si>
    <t>100 кв.м утепляемой поверхности</t>
  </si>
  <si>
    <t>1.9</t>
  </si>
  <si>
    <t>Оконные и дверные проемы</t>
  </si>
  <si>
    <t>1.9.1</t>
  </si>
  <si>
    <t>Восстановление (ремонт) дверей в помещениях  общего  пользования</t>
  </si>
  <si>
    <t>1.9.1.4</t>
  </si>
  <si>
    <t>Ремонт дверных коробок в узких каменных стенах</t>
  </si>
  <si>
    <t>10 коробок</t>
  </si>
  <si>
    <t>1.9.1.10</t>
  </si>
  <si>
    <t>Смена дверных петель при одной сменяемой петле в полотне</t>
  </si>
  <si>
    <t>10 петель</t>
  </si>
  <si>
    <t>1.9.1.11</t>
  </si>
  <si>
    <t>Смена дверных петель при двух сменяемых петлях в полотне</t>
  </si>
  <si>
    <t>1.9.1.15</t>
  </si>
  <si>
    <t>Укрепление наличников дверных проемов</t>
  </si>
  <si>
    <t>1 п.м. наличника</t>
  </si>
  <si>
    <t>1.9.1.17</t>
  </si>
  <si>
    <t>Смена ручки дверной</t>
  </si>
  <si>
    <t>1 ручка</t>
  </si>
  <si>
    <t>1.9.1.18</t>
  </si>
  <si>
    <t>Смена щеколды</t>
  </si>
  <si>
    <t>100 щеколд</t>
  </si>
  <si>
    <t>1.9.1.19</t>
  </si>
  <si>
    <t>Смена замков накладных</t>
  </si>
  <si>
    <t>100 замков</t>
  </si>
  <si>
    <t>1.9.1.20</t>
  </si>
  <si>
    <t>Смена замков врезных</t>
  </si>
  <si>
    <t>1.9.2</t>
  </si>
  <si>
    <t>Восстановление (ремонт)  окон в  помещениях общего  пользования</t>
  </si>
  <si>
    <t>1.9.2.4</t>
  </si>
  <si>
    <t>Ремонт оконных переплетов узких одинарных коробок</t>
  </si>
  <si>
    <t>10 створок</t>
  </si>
  <si>
    <t>1.9.2.11</t>
  </si>
  <si>
    <t>Смена оконных петель при двух сменяемых петлях в створке</t>
  </si>
  <si>
    <t>1.9.2.22</t>
  </si>
  <si>
    <t>Временная замена разбитого стекла фанерой</t>
  </si>
  <si>
    <t>10 кв.м.</t>
  </si>
  <si>
    <t>1.9.2.23</t>
  </si>
  <si>
    <t>Смена ручки оконной</t>
  </si>
  <si>
    <t>100 ручек</t>
  </si>
  <si>
    <t>1.9.2.24</t>
  </si>
  <si>
    <t>Смена задвижки</t>
  </si>
  <si>
    <t>100 задвижек</t>
  </si>
  <si>
    <t>1.9.2.26</t>
  </si>
  <si>
    <t>Улучшенная масляная окраска оконных рам</t>
  </si>
  <si>
    <t>1.9.2.33</t>
  </si>
  <si>
    <t>Остекление оконным стеклом окон в два переплета открывающихся в одну сторону</t>
  </si>
  <si>
    <t>100 м2 площади проемов по наружному обводу коробок</t>
  </si>
  <si>
    <t>1.10</t>
  </si>
  <si>
    <t>Лестницы</t>
  </si>
  <si>
    <t>1.10.1</t>
  </si>
  <si>
    <t>Ремонт  металлических косоуров</t>
  </si>
  <si>
    <t>1.10.1.2</t>
  </si>
  <si>
    <t>Оштукатуривание металлических косоуров</t>
  </si>
  <si>
    <t>100 м2 оштукатуренной поверхности</t>
  </si>
  <si>
    <t>1.10.3</t>
  </si>
  <si>
    <t>Ремонт  ограждений,  поручней и  предохранительных  сеток</t>
  </si>
  <si>
    <t>1.10.3.1</t>
  </si>
  <si>
    <t>Ремонт металлических лестничных решеток</t>
  </si>
  <si>
    <t>100 м решетки</t>
  </si>
  <si>
    <t>1.10.4</t>
  </si>
  <si>
    <t>Ремонт,  замена  перил</t>
  </si>
  <si>
    <t>1.10.4.1</t>
  </si>
  <si>
    <t>Смена отдельных частей поручней</t>
  </si>
  <si>
    <t>1.10.4.1.1</t>
  </si>
  <si>
    <t>Смена прямых  частей поручней</t>
  </si>
  <si>
    <t>1.10.4.1.2</t>
  </si>
  <si>
    <t>Смена закругленных  частей поручней</t>
  </si>
  <si>
    <t>1.10.5</t>
  </si>
  <si>
    <t>Окраска  металлических  элементов  лестниц</t>
  </si>
  <si>
    <t>1.10.5.2</t>
  </si>
  <si>
    <t>Окраска масляными составами ранее окрашенных металлических решеток без рельефа за 2 раза</t>
  </si>
  <si>
    <t xml:space="preserve"> 100 м2 окрашиваемой поверхности</t>
  </si>
  <si>
    <t>1.10.6</t>
  </si>
  <si>
    <t>Ремонт  пандусов</t>
  </si>
  <si>
    <t>1.10.6.1</t>
  </si>
  <si>
    <t>Заделка трещин и мелких выбоин</t>
  </si>
  <si>
    <t>1.10.7</t>
  </si>
  <si>
    <t>Прочие работы по ремонту лестниц</t>
  </si>
  <si>
    <t>1.10.7.1</t>
  </si>
  <si>
    <t>Окрашивание масляными составами торцов лестничных маршей и площадок</t>
  </si>
  <si>
    <t>1.10.7.2</t>
  </si>
  <si>
    <t>Окрашивание масляными составами деревянных поручней</t>
  </si>
  <si>
    <t>100  м поручня</t>
  </si>
  <si>
    <t>1.10.7.3</t>
  </si>
  <si>
    <t>Заделка выбоин в каменных ступенях</t>
  </si>
  <si>
    <t>100 м2 заделанной поверхности</t>
  </si>
  <si>
    <t>2.6.3</t>
  </si>
  <si>
    <t>Замена разбитых стекол окон и дверей в помещениях общего пользования</t>
  </si>
  <si>
    <t>2.6.3.4</t>
  </si>
  <si>
    <t>Смена стекол на штапиках по замазке</t>
  </si>
  <si>
    <t>100 м фальца</t>
  </si>
  <si>
    <t>2.6.6</t>
  </si>
  <si>
    <t>Проверка состояния и ремонт продухов в цоколях зданий</t>
  </si>
  <si>
    <t>2.6.6.1</t>
  </si>
  <si>
    <t>Оштукатуривание продухов</t>
  </si>
  <si>
    <t xml:space="preserve">  1 м2 ремонтируемой поверхности</t>
  </si>
  <si>
    <t>2.6.6.2</t>
  </si>
  <si>
    <t>Перетирка штукатурки поверхностей</t>
  </si>
  <si>
    <t>2.6.6.3</t>
  </si>
  <si>
    <t>Окраска  продухов</t>
  </si>
  <si>
    <t>100 м2 ремонтируемой поверхности</t>
  </si>
  <si>
    <t>2.6.8</t>
  </si>
  <si>
    <t>Проведение технических осмотров и мелкий ремонт стен, полов, перекрытий</t>
  </si>
  <si>
    <t>2.6.8.1</t>
  </si>
  <si>
    <t>Осмотр территории вокруг здания и фундамента</t>
  </si>
  <si>
    <t>2.6.8.2</t>
  </si>
  <si>
    <t>Осмотр кирпичных и железобетонных стен, фасадов</t>
  </si>
  <si>
    <t>2.6.8.6</t>
  </si>
  <si>
    <t>Осмотр железобетонных перекрытий</t>
  </si>
  <si>
    <t>1000 кв.м. полов</t>
  </si>
  <si>
    <t>2.6.8.8</t>
  </si>
  <si>
    <t>Осмотр внутренней отделки стен</t>
  </si>
  <si>
    <t>2.6.8.9</t>
  </si>
  <si>
    <t>Осмотр заполнения дверных и оконных проемов</t>
  </si>
  <si>
    <t>2.6.9</t>
  </si>
  <si>
    <t>Осмотр всех элементов кровли, водостоков</t>
  </si>
  <si>
    <t>2.6.9.1</t>
  </si>
  <si>
    <t>Осмотр всех элементов стальных кровель, водостоков</t>
  </si>
  <si>
    <t>1000 кв.м. кровли</t>
  </si>
  <si>
    <t>3.2</t>
  </si>
  <si>
    <t>Уборка земельного участка, входящего в состав общего имущества многоквартирного дома</t>
  </si>
  <si>
    <t>3.2.4</t>
  </si>
  <si>
    <t>Подрезка деревьев и кустов</t>
  </si>
  <si>
    <t>3.2.4.1</t>
  </si>
  <si>
    <t>Формовочная обрезка деревьев высотой более 5 м</t>
  </si>
  <si>
    <t>100 деревьев</t>
  </si>
  <si>
    <t>3.2.4.2</t>
  </si>
  <si>
    <t>Вырезка сухих ветвей и поросли</t>
  </si>
  <si>
    <t>3.2.4.4</t>
  </si>
  <si>
    <t>Формирование кроны кустарников</t>
  </si>
  <si>
    <t>1000 кустов</t>
  </si>
  <si>
    <t>3.2.4.7</t>
  </si>
  <si>
    <t>Формовочная обрезка деревьев высотой до 5 м</t>
  </si>
  <si>
    <t>Очистка кровли от снега, сбивание сосулек (при толщине слоя до 20 см)</t>
  </si>
  <si>
    <t>100 кв.м. кровли</t>
  </si>
  <si>
    <t>Погрузка снега и скола в автосамосвалы погрузчиками</t>
  </si>
  <si>
    <t>м3</t>
  </si>
  <si>
    <t>Вывоз снега с придомовой территории</t>
  </si>
  <si>
    <t>2.1</t>
  </si>
  <si>
    <t>Система теплоснабжения</t>
  </si>
  <si>
    <t>2.1.2</t>
  </si>
  <si>
    <t>Ремонт,  модернизация внутридомовых отопительных сетей</t>
  </si>
  <si>
    <t>2.1.2.2</t>
  </si>
  <si>
    <t>Смена отдельных участков трубопроводов из стальных электросварных труб</t>
  </si>
  <si>
    <t>2.1.2.2.1</t>
  </si>
  <si>
    <t>Смена отдельных участков трубопроводов из стальных электросварных труб  диаметром 40 мм</t>
  </si>
  <si>
    <t>2.1.2.2.2</t>
  </si>
  <si>
    <t>Смена отдельных участков трубопроводов из стальных электросварных труб   диаметром 50 мм</t>
  </si>
  <si>
    <t>2.1.2.2.3</t>
  </si>
  <si>
    <t>Смена отдельных участков трубопроводов из стальных электросварных труб   диаметром 65 мм</t>
  </si>
  <si>
    <t>2.1.2.2.4</t>
  </si>
  <si>
    <t>Смена отдельных участков трубопроводов из стальных электросварных труб   диаметром  80 мм</t>
  </si>
  <si>
    <t>2.1.2.2.5</t>
  </si>
  <si>
    <t>Смена отдельных участков трубопроводов из стальных электросварных труб диаметром 100 мм</t>
  </si>
  <si>
    <t>2.1.2.3</t>
  </si>
  <si>
    <t xml:space="preserve">Модернизация внутридомовых тепловых сетей путем замены на трубопроводы из многослойных металл-полимерных труб при стояковой системе отопления </t>
  </si>
  <si>
    <t>2.1.2.3.1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</si>
  <si>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20 мм</t>
  </si>
  <si>
    <t>пог.м.</t>
  </si>
  <si>
    <t>2.1.2.3.2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</si>
  <si>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25 мм</t>
  </si>
  <si>
    <t>2.1.2.3.3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</si>
  <si>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32 мм</t>
  </si>
  <si>
    <t>2.1.3</t>
  </si>
  <si>
    <t>Ремонт,  промывка  отопительных  элементов</t>
  </si>
  <si>
    <t>2.1.3.1</t>
  </si>
  <si>
    <t>Смена радиаторных блоков</t>
  </si>
  <si>
    <t>2.1.3.1.2</t>
  </si>
  <si>
    <t>Смена радиаторных блоков, вес радиаторного блока до 80 кг</t>
  </si>
  <si>
    <t>100 радиаторных блоков</t>
  </si>
  <si>
    <t>2.1.3.2</t>
  </si>
  <si>
    <t>Переборка секций радиаторного блока из чугуна</t>
  </si>
  <si>
    <t>100 секций</t>
  </si>
  <si>
    <t>2.1.3.3</t>
  </si>
  <si>
    <t>Переборка секций радиаторного блока из алюминия</t>
  </si>
  <si>
    <t>2.1.3.4</t>
  </si>
  <si>
    <t>Добавление секций к радиаторному блоку</t>
  </si>
  <si>
    <t>2.1.3.4.1</t>
  </si>
  <si>
    <t>Добавление секций к алюминиевому радиаторному блоку</t>
  </si>
  <si>
    <t>2.1.3.4.2</t>
  </si>
  <si>
    <t>Добавление секций к чугунному радиаторному блоку</t>
  </si>
  <si>
    <t>2.1.3.5</t>
  </si>
  <si>
    <t>Прочистка и промывка отопительных приборов</t>
  </si>
  <si>
    <t>2.1.3.5.1</t>
  </si>
  <si>
    <t>Прочистка и промывка отопительных приборов радиаторов весом до 80 кг внутри здания</t>
  </si>
  <si>
    <t>100 приборов</t>
  </si>
  <si>
    <t>2.1.3.5.2</t>
  </si>
  <si>
    <t>Прочистка и промывка отопительных приборов радиаторов весом до 160 кг внутри здания</t>
  </si>
  <si>
    <t>2.1.5</t>
  </si>
  <si>
    <t>Восстановление теплоизоляции  систем  теплоснабжения</t>
  </si>
  <si>
    <t>2.1.5.3</t>
  </si>
  <si>
    <t>Восстановление разрушенной тепловой изоляции</t>
  </si>
  <si>
    <t>2.1.5.3.3</t>
  </si>
  <si>
    <t>Восстановление разрушенной тепловой изоляции минераловатными матами</t>
  </si>
  <si>
    <t>100 м2 восстановленного участка</t>
  </si>
  <si>
    <t>2.1.6</t>
  </si>
  <si>
    <t>Ремонт или  замена  неисправных  приборов  учета и  регулирования</t>
  </si>
  <si>
    <t>2.1.6.2</t>
  </si>
  <si>
    <t>Замена прибора учета</t>
  </si>
  <si>
    <t>прибор</t>
  </si>
  <si>
    <t>2.1.7</t>
  </si>
  <si>
    <t>Ремонт  элеваторного  узла</t>
  </si>
  <si>
    <t>2.1.7.1</t>
  </si>
  <si>
    <t>Ремонт элеваторного узла с выходным проходом 50 мм</t>
  </si>
  <si>
    <t>1 узел</t>
  </si>
  <si>
    <t>2.1.7.2</t>
  </si>
  <si>
    <t>Ремонт элеваторного узла с выходным проходом 80 мм</t>
  </si>
  <si>
    <t>узел</t>
  </si>
  <si>
    <t>2.1.8</t>
  </si>
  <si>
    <t>Ремонт  насосов,  магистральной запорной арматуры,  автоматических устройств</t>
  </si>
  <si>
    <t>2.1.8.1</t>
  </si>
  <si>
    <t>Ремонт центробежных насосов</t>
  </si>
  <si>
    <t>насос</t>
  </si>
  <si>
    <t>2.1.8.4</t>
  </si>
  <si>
    <t>Смена параллельной задвижки</t>
  </si>
  <si>
    <t>2.1.8.4.1</t>
  </si>
  <si>
    <t>Смена параллельной задвижки,  диаметром до 100 мм</t>
  </si>
  <si>
    <t>2.1.8.4.2</t>
  </si>
  <si>
    <t>Смена параллельной задвижки,  диаметром до 150 мм</t>
  </si>
  <si>
    <t>2.1.8.4.3</t>
  </si>
  <si>
    <t>Смена параллельной задвижки,  диаметром до 200 мм</t>
  </si>
  <si>
    <t>2.1.8.5</t>
  </si>
  <si>
    <t>Снятие, прочистка и установка параллельной задвижки</t>
  </si>
  <si>
    <t>2.1.8.5.1</t>
  </si>
  <si>
    <t>Снятие, прочистка и установка параллельной задвижки диаметром  100 мм</t>
  </si>
  <si>
    <t>2.1.8.5.2</t>
  </si>
  <si>
    <t>Снятие, прочистка и установка параллельной задвижки диаметром  150 мм</t>
  </si>
  <si>
    <t>2.1.8.5.3</t>
  </si>
  <si>
    <t>Снятие, прочистка и установка параллельной задвижки диаметром  200 мм</t>
  </si>
  <si>
    <t>2.1.8.6</t>
  </si>
  <si>
    <t>Смена кранов двойной регулировки</t>
  </si>
  <si>
    <t>2.1.8.6.3</t>
  </si>
  <si>
    <t>Смена кранов двойной регулировки диаметром прохода 32 мм</t>
  </si>
  <si>
    <t>100 кранов</t>
  </si>
  <si>
    <t>2.1.8.7</t>
  </si>
  <si>
    <t>Смена пробковых кранов</t>
  </si>
  <si>
    <t>2.1.8.7.3</t>
  </si>
  <si>
    <t>Смена пробковых кранов диаметром свыше 26-50 мм</t>
  </si>
  <si>
    <t>2.1.8.8</t>
  </si>
  <si>
    <t>Смена вентиля</t>
  </si>
  <si>
    <t>2.1.8.8.3</t>
  </si>
  <si>
    <t>Смена вентиля диаметром свыше 26 до 50  мм</t>
  </si>
  <si>
    <t>100 вентилей</t>
  </si>
  <si>
    <t>2.1.9</t>
  </si>
  <si>
    <t>Модернизация системы отопления и горячего водоснабжения</t>
  </si>
  <si>
    <t>2.1.9.3</t>
  </si>
  <si>
    <t>Установка термостатических вентилей на радиаторах</t>
  </si>
  <si>
    <t>2.1.9.3.1</t>
  </si>
  <si>
    <t>Установка термостатических вентилей на радиаторах, диаметром 10-15 мм</t>
  </si>
  <si>
    <t>1 прибор</t>
  </si>
  <si>
    <t>2.1.9.3.2</t>
  </si>
  <si>
    <t>Установка термостатических вентилей на радиаторах, диаметром 20 мм</t>
  </si>
  <si>
    <t>2.1.9.4</t>
  </si>
  <si>
    <t>Установка запорных вентилей на радиаторах</t>
  </si>
  <si>
    <t>2.1.9.4.1</t>
  </si>
  <si>
    <t>Установка запорных вентилей на радиаторах, диаметром 10-15 мм</t>
  </si>
  <si>
    <t>2.1.9.4.2</t>
  </si>
  <si>
    <t>Установка запорных вентилей на радиаторах, диаметром 20 мм</t>
  </si>
  <si>
    <t>2.1.10</t>
  </si>
  <si>
    <t>Обслуживание систем диспетчеризации и автоматизированной системы коммерческого учета энергии (АСКУЭ) без учета обслуживания серверов</t>
  </si>
  <si>
    <t>1 АРМ</t>
  </si>
  <si>
    <t>2.6.14</t>
  </si>
  <si>
    <t>Проведение технических осмотров и устранение незначительных неисправностей в  системе   теплоснабжения</t>
  </si>
  <si>
    <t>2.6.14.1</t>
  </si>
  <si>
    <t>Осмотр системы центрального отопления</t>
  </si>
  <si>
    <t>2.6.14.1.2</t>
  </si>
  <si>
    <t>Осмотр устройства системы центрального отопления в чердачных и подвальных помещениях</t>
  </si>
  <si>
    <t>1000 м2 осматриваемых помещений</t>
  </si>
  <si>
    <t>2.6.14.3</t>
  </si>
  <si>
    <t>Гидравлическое испытание трубопроводов систем центрального отопления (расконсервация)</t>
  </si>
  <si>
    <t>2.6.14.3.1</t>
  </si>
  <si>
    <t>Первое рабочее испытание отдельных частей системы при диаметре трубопровода до 50 мм</t>
  </si>
  <si>
    <t>2.6.14.3.2</t>
  </si>
  <si>
    <t>Рабочая проверка системы в целом при диаметре трубопровода до 50 мм</t>
  </si>
  <si>
    <t>2.6.14.3.3</t>
  </si>
  <si>
    <t>Окончательная проверка при сдаче системы при диаметре трубопровода до 50 мм</t>
  </si>
  <si>
    <t>2.6.14.3.4</t>
  </si>
  <si>
    <t>Первое рабочее испытание отдельных частей системы при диаметре трубопровода до 100 мм</t>
  </si>
  <si>
    <t>2.6.14.3.5</t>
  </si>
  <si>
    <t>Рабочая проверка системы в целом при диаметре трубопровода до 100 мм</t>
  </si>
  <si>
    <t>2.6.14.3.6</t>
  </si>
  <si>
    <t>Окончательная проверка при сдаче системы при диаметре трубопровода до 100 мм</t>
  </si>
  <si>
    <t>2.6.14.3.10</t>
  </si>
  <si>
    <t>Проверка на прогрев отопительных приборов с регулировкой</t>
  </si>
  <si>
    <t>2.6.14.4</t>
  </si>
  <si>
    <t>Промывка трубопроводов системы центрального отопления</t>
  </si>
  <si>
    <t>2.6.14.4.1</t>
  </si>
  <si>
    <t>Промывка трубопроводов системы центрального отопления до 50 мм</t>
  </si>
  <si>
    <t>10 м трубопровода (100 м3 здания)</t>
  </si>
  <si>
    <t>2.6.14.4.2</t>
  </si>
  <si>
    <t>Промывка трубопроводов системы центрального отопления до 100 мм</t>
  </si>
  <si>
    <t>2.6.15.3</t>
  </si>
  <si>
    <t>Проверка и обслуживание коллективных узлов учета тепловой энергии диаметром 25-40 мм</t>
  </si>
  <si>
    <t>2.6.15.3.1</t>
  </si>
  <si>
    <t>Визуальный осмотр и проверка наличия и нарушения пломб (узел учета тепловой энергии диаметром 25-40 мм)</t>
  </si>
  <si>
    <t>1 узел учета</t>
  </si>
  <si>
    <t>2.6.15.3.2</t>
  </si>
  <si>
    <t>Снятие и запись показаний с вычислителя в журнал (узел учета тепловой энергии диаметром 25-40 мм)</t>
  </si>
  <si>
    <t>2.6.15.3.3</t>
  </si>
  <si>
    <t>Составление акта (при нарушении правил эксплуатации прибора) (узел учета тепловой энергии диаметром 25-40 мм)</t>
  </si>
  <si>
    <t>2.6.15.4</t>
  </si>
  <si>
    <t>Проверка и обслуживание коллективных узлов учета тепловой энергии диаметром 50-250 мм</t>
  </si>
  <si>
    <t>2.6.15.4.1</t>
  </si>
  <si>
    <t>Визуальный осмотр и проверка наличия и нарушения пломб (узел учета тепловой энергии диаметром 50-250 мм)</t>
  </si>
  <si>
    <t>2.6.15.4.2</t>
  </si>
  <si>
    <t>Снятие и запись показаний с вычислителя в журнал (узел учета тепловой энергии диаметром 50-250 мм)</t>
  </si>
  <si>
    <t>2.6.15.4.3</t>
  </si>
  <si>
    <t>Составление акта (при нарушении правил эксплуатации прибора) (узел учета тепловой энергии диаметром 50-250 мм)</t>
  </si>
  <si>
    <t>2.6.15.4.4</t>
  </si>
  <si>
    <t>Проверка работоспособности запорной арматуры и очистка фильтра (узел учета тепловой энергии диаметром 50-250 мм)</t>
  </si>
  <si>
    <t>1.1.7</t>
  </si>
  <si>
    <t>Восстановление (ремонт)  освещения и  вентиляции  подвала</t>
  </si>
  <si>
    <t>1.1.7.1</t>
  </si>
  <si>
    <t>Замена неисправных участков электрической сети (скрытая проводка) при числе и сечении жил в проводе  2x1,5 и 2x2,5 кв.м.</t>
  </si>
  <si>
    <t>100 пог.м</t>
  </si>
  <si>
    <t>1.1.7.5</t>
  </si>
  <si>
    <t>Замена патронов</t>
  </si>
  <si>
    <t>1.1.7.6</t>
  </si>
  <si>
    <t>Замена неисправных участков электрической сети (скрытая проводка) при числе и сечении жил в проводе  3х2,5 кв.м</t>
  </si>
  <si>
    <t>100 пог. м</t>
  </si>
  <si>
    <t>2.5</t>
  </si>
  <si>
    <t>Внутридомовое электро-, радио- и телеоборудование</t>
  </si>
  <si>
    <t>2.5.1</t>
  </si>
  <si>
    <t>Ремонт,  замена  шкафов  вводных и  вводно-распределительных устройств</t>
  </si>
  <si>
    <t>2.5.1.1</t>
  </si>
  <si>
    <t>Замена пакетных переключателей вводно-распределительных устройств и шкафов</t>
  </si>
  <si>
    <t>1 переключатель</t>
  </si>
  <si>
    <t>2.5.1.2</t>
  </si>
  <si>
    <t>Замена автоматического выключателя</t>
  </si>
  <si>
    <t>1 автоматический выключатель</t>
  </si>
  <si>
    <t>2.5.1.5</t>
  </si>
  <si>
    <t>Замена рубильника</t>
  </si>
  <si>
    <t>1 рубильник</t>
  </si>
  <si>
    <t>2.5.1.7</t>
  </si>
  <si>
    <t>Ремонт блока управления освещением</t>
  </si>
  <si>
    <t>1 блок</t>
  </si>
  <si>
    <t>2.5.1.11</t>
  </si>
  <si>
    <t>Замена шкафов и ВРУ</t>
  </si>
  <si>
    <t>1 шкаф</t>
  </si>
  <si>
    <t>2.5.2</t>
  </si>
  <si>
    <t>Ремонт,  замена  аппаратуры  защиты,  контроля и   управления  общего  пользования</t>
  </si>
  <si>
    <t>2.5.2.5</t>
  </si>
  <si>
    <t>Замена автомата</t>
  </si>
  <si>
    <t>1 автомат</t>
  </si>
  <si>
    <t>2.5.5</t>
  </si>
  <si>
    <t>Ремонт, замена этажных  щитков и  шкафов</t>
  </si>
  <si>
    <t>2.5.5.2</t>
  </si>
  <si>
    <t>Ремонт щитков</t>
  </si>
  <si>
    <t>1 щит</t>
  </si>
  <si>
    <t>2.5.6</t>
  </si>
  <si>
    <t>Ремонт,  замена  приборов  учета и регулирования общего   пользования</t>
  </si>
  <si>
    <t>2.5.6.7</t>
  </si>
  <si>
    <t>Замена трехфазного счетчика (прибора учета) электрической энергии, включенного через измерительные трансформаторы тока</t>
  </si>
  <si>
    <t>1 счетчик</t>
  </si>
  <si>
    <t>2.5.6.9</t>
  </si>
  <si>
    <t>Обслуживание трехфазных счетчиков электроэнергии</t>
  </si>
  <si>
    <t>100 счетчиков</t>
  </si>
  <si>
    <t>2.5.7</t>
  </si>
  <si>
    <t>Ремонт,  замена  осветительных установок  помещений   общего  пользования</t>
  </si>
  <si>
    <t>2.5.7.1</t>
  </si>
  <si>
    <t>Замена выключателя</t>
  </si>
  <si>
    <t>1 выключатель</t>
  </si>
  <si>
    <t>2.5.7.2</t>
  </si>
  <si>
    <t>Замена светильника с лампами накаливания или энергосберегающими лампами</t>
  </si>
  <si>
    <t>1 светильник</t>
  </si>
  <si>
    <t>2.5.7.4</t>
  </si>
  <si>
    <t>Ремонт светильника с лампами накаливания или энергосберегающими лампами</t>
  </si>
  <si>
    <t>2.5.7.6</t>
  </si>
  <si>
    <t>Замена лампы накаливания на энергосберегательную</t>
  </si>
  <si>
    <t>1 лампа</t>
  </si>
  <si>
    <t>2.5.7.9</t>
  </si>
  <si>
    <t>Замена светильника на светодиодный светильник</t>
  </si>
  <si>
    <t>2.5.9</t>
  </si>
  <si>
    <t>Ремонт штепсельных розеток и выключателей</t>
  </si>
  <si>
    <t>100 розеток (выключателей)</t>
  </si>
  <si>
    <t>2.5.10</t>
  </si>
  <si>
    <t>Смена розеток</t>
  </si>
  <si>
    <t>2.6.13</t>
  </si>
  <si>
    <t>Проведение технических осмотров и устранение незначительных неисправностей в   электротехнических устройствах</t>
  </si>
  <si>
    <t>2.6.13.1</t>
  </si>
  <si>
    <t>Осмотр  электросети, арматуры, электрооборудования на лестничных клетках</t>
  </si>
  <si>
    <t>100 лестничных площадок</t>
  </si>
  <si>
    <t>2.6.13.3</t>
  </si>
  <si>
    <t>Проверка изоляции электропроводки и ее укрепление</t>
  </si>
  <si>
    <t>2.6.13.4</t>
  </si>
  <si>
    <t>Проверка заземления оболочки электрокабеля</t>
  </si>
  <si>
    <t>2.6.13.5</t>
  </si>
  <si>
    <t>Замеры сопротивления изоляции проводов</t>
  </si>
  <si>
    <t xml:space="preserve">измерение 1         </t>
  </si>
  <si>
    <t>Санитарное содержание мест общего пользования, благоустройство придомовой территории и прочие работы</t>
  </si>
  <si>
    <t>Дератизация чердаков и подвалов с применением крысида - антикоагулянта III поколения</t>
  </si>
  <si>
    <t>1000 м2  обрабатываемых  помещений</t>
  </si>
  <si>
    <t>Дезинсекция  подвалов</t>
  </si>
  <si>
    <t>Итого по разделу:</t>
  </si>
  <si>
    <t>Дезинфекция мусоросборников (контейнеров)</t>
  </si>
  <si>
    <t>10 контейнеров</t>
  </si>
  <si>
    <t>Очистка контейнерной площадки в холодный период</t>
  </si>
  <si>
    <t>Уборка мусора на  контейнерных  площадках</t>
  </si>
  <si>
    <t>на 100 кв.м.</t>
  </si>
  <si>
    <t>Подметание лестничных площадок и маршей нижних трех этажей с предварительным их увлажнением (в доме с лифтами без мусоропроводов)</t>
  </si>
  <si>
    <t>100 м2  убираемой  площади</t>
  </si>
  <si>
    <t>Подметание лестничных площадок и маршей выше третьего этажа с предварительным их увлажнением  (в доме с лифтами без мусоропроводов)</t>
  </si>
  <si>
    <t>100 м2 убираемой  площади</t>
  </si>
  <si>
    <t>Мытье  лестничных площадок и маршей нижних трех этажей  (в доме с лифтами без мусоропроводов)</t>
  </si>
  <si>
    <t>Мытье  лестничных площадок и маршей  выше третьего этажа  (в доме с лифтами без мусоропроводов)</t>
  </si>
  <si>
    <t>Протирка пыли  с колпаков  светильников (в подвалах, на чердаках и лестничных клетках)</t>
  </si>
  <si>
    <t>Протирка пыли  с подоконников в помещениях общего  пользования</t>
  </si>
  <si>
    <t>100 м2 подоконников</t>
  </si>
  <si>
    <t>Мытье и протирка дверей  в помещениях общего пользования</t>
  </si>
  <si>
    <t>100 м2 дверей</t>
  </si>
  <si>
    <t>Мытье и протирка легкодоступных стекол в окнах  в помещениях общего пользования</t>
  </si>
  <si>
    <t>100 м2 окон</t>
  </si>
  <si>
    <t>Влажная протирка почтовых ящиков (с моющим средством)</t>
  </si>
  <si>
    <t>100 кв.м почтовых ящиков</t>
  </si>
  <si>
    <t>Влажная протирка шкафов для электросчетчиков слаботочных устройств  (с моющим средством)</t>
  </si>
  <si>
    <t>100 кв. м шкафов для электросчетчиков слаботочных устройств</t>
  </si>
  <si>
    <t>Обметание пыли с потолков</t>
  </si>
  <si>
    <t>100 кв. м. потолков</t>
  </si>
  <si>
    <t>Подметание в летний период  земельного участка с усовершенствованным покрытием 1 класса</t>
  </si>
  <si>
    <t>1 000 кв.м. территории</t>
  </si>
  <si>
    <t>Уборка газонов средней засоренности от листьев, сучьев, мусора</t>
  </si>
  <si>
    <t>100 000 кв.м. территории</t>
  </si>
  <si>
    <t>Полив газонов</t>
  </si>
  <si>
    <t>на 100 000 кв.м.</t>
  </si>
  <si>
    <t>Стрижка газонов</t>
  </si>
  <si>
    <t>Очистка опрокидывающихся урн от мусора</t>
  </si>
  <si>
    <t>на 100 урн</t>
  </si>
  <si>
    <t>Сдвижка и подметание снега при отсутствии снегопада на придомовой территории с усовершенствованным покрытием 1 класса</t>
  </si>
  <si>
    <t>10 000 кв.м. территории</t>
  </si>
  <si>
    <t>Сдвижка и подметание снега при снегопаде на придомовой территории с усовершенствованным покрытием 1 класса</t>
  </si>
  <si>
    <t>Посыпка территории I класса</t>
  </si>
  <si>
    <t>Коммунальные ресурсы на СОИ</t>
  </si>
  <si>
    <t>Холодная вода на СОИ</t>
  </si>
  <si>
    <t>Электрическая энергия на СОИ</t>
  </si>
  <si>
    <t>Горячая вода на СОИ</t>
  </si>
  <si>
    <t>Управление многоквартирным домом</t>
  </si>
  <si>
    <t>ВСЕГО ПО СМЕТЕ:</t>
  </si>
  <si>
    <t>Проверил:</t>
  </si>
  <si>
    <t>Заместитель директора по ЖКХ</t>
  </si>
  <si>
    <t>(подпись)</t>
  </si>
  <si>
    <t>Заместитель директора по экономики</t>
  </si>
  <si>
    <t>С.И. Мухаметзянова</t>
  </si>
  <si>
    <t>Исп.: Н.В. Кириченкова</t>
  </si>
  <si>
    <t>Плановый ремонт подъездов</t>
  </si>
  <si>
    <t>Ремонт подъездов</t>
  </si>
  <si>
    <t>м2</t>
  </si>
  <si>
    <t xml:space="preserve"> Техническое обслуживание и ремонт вентиляционных каналов</t>
  </si>
  <si>
    <t xml:space="preserve"> Техническое обслуживание внутридомовых систем водоснабжения и канализации</t>
  </si>
  <si>
    <t xml:space="preserve"> Техническое обслуживание и ремонт внутридомовых систем газового оборудования</t>
  </si>
  <si>
    <t xml:space="preserve"> Техническое обслуживание и ремонт дымоходов</t>
  </si>
  <si>
    <t xml:space="preserve"> Техническое обслуживание и ремонт систем коллективного приема телевидения</t>
  </si>
  <si>
    <t xml:space="preserve"> Техническое обслуживание и ремонт жилого здания</t>
  </si>
  <si>
    <t xml:space="preserve"> Техническое обслуживание и ремонт внутридомовых систем центрального отопления</t>
  </si>
  <si>
    <t xml:space="preserve"> Техническое обслуживание и ремонт внутридомовых систем электроснабжения и электрооборудования</t>
  </si>
  <si>
    <t>9ти эт.  дератизация, дезинсекция</t>
  </si>
  <si>
    <t>9 ти эт  содержание контейнерной площадки</t>
  </si>
  <si>
    <t>9ти эт  уборка мест общего пользования</t>
  </si>
  <si>
    <t>9 ти эт  Уборка мест придомовой территории</t>
  </si>
  <si>
    <t>Стоимость с инфляцией 23,24,25г.г.</t>
  </si>
  <si>
    <t>А.В. Кутырев</t>
  </si>
  <si>
    <t>Ю.А. Кузнецов</t>
  </si>
  <si>
    <t>Д.А. Ковалев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</si>
</sst>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.00"/>
    <numFmt numFmtId="165" formatCode="_-* #,##0.00_-;\-* #,##0.00_-;_-* \-??_-;_-@_-"/>
  </numFmts>
  <fonts count="14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FFFF"/>
      <name val="Times New Roman"/>
      <family val="1"/>
      <charset val="204"/>
    </font>
    <font>
      <b/>
      <sz val="11"/>
      <color rgb="FF000099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707070"/>
      <name val="Times New Roman"/>
      <family val="1"/>
      <charset val="204"/>
    </font>
    <font>
      <b/>
      <sz val="11"/>
      <color rgb="FFFF6600"/>
      <name val="Times New Roman"/>
      <family val="1"/>
      <charset val="204"/>
    </font>
    <font>
      <b/>
      <sz val="11"/>
      <color rgb="FF333399"/>
      <name val="Times New Roman"/>
      <family val="1"/>
      <charset val="204"/>
    </font>
    <font>
      <b/>
      <sz val="11"/>
      <color rgb="FFE65100"/>
      <name val="Times New Roman"/>
      <family val="1"/>
      <charset val="204"/>
    </font>
    <font>
      <b/>
      <sz val="11"/>
      <color rgb="FF455A64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546E7A"/>
        <bgColor rgb="FF707070"/>
      </patternFill>
    </fill>
    <fill>
      <patternFill patternType="solid">
        <fgColor rgb="FFDCE6F1"/>
        <bgColor rgb="FFECEFF1"/>
      </patternFill>
    </fill>
    <fill>
      <patternFill patternType="solid">
        <fgColor rgb="FFF9F7ED"/>
        <bgColor rgb="FFF2F2F2"/>
      </patternFill>
    </fill>
    <fill>
      <patternFill patternType="solid">
        <fgColor rgb="FFF5F2E0"/>
        <bgColor rgb="FFEBF1DE"/>
      </patternFill>
    </fill>
    <fill>
      <patternFill patternType="solid">
        <fgColor rgb="FFEBF1DE"/>
        <bgColor rgb="FFF5F2E0"/>
      </patternFill>
    </fill>
    <fill>
      <patternFill patternType="solid">
        <fgColor rgb="FFF2F2F2"/>
        <bgColor rgb="FFECEFF1"/>
      </patternFill>
    </fill>
    <fill>
      <patternFill patternType="solid">
        <fgColor rgb="FFFFFFCC"/>
        <bgColor rgb="FFF9F7ED"/>
      </patternFill>
    </fill>
    <fill>
      <patternFill patternType="solid">
        <fgColor rgb="FFCFD8DC"/>
        <bgColor rgb="FFDCE6F1"/>
      </patternFill>
    </fill>
    <fill>
      <patternFill patternType="solid">
        <fgColor rgb="FFECEFF1"/>
        <bgColor rgb="FFF2F2F2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165" fontId="1" fillId="0" borderId="0" applyBorder="0" applyProtection="0"/>
  </cellStyleXfs>
  <cellXfs count="1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 indent="1"/>
    </xf>
    <xf numFmtId="0" fontId="4" fillId="2" borderId="2" xfId="0" applyFont="1" applyFill="1" applyBorder="1" applyAlignment="1">
      <alignment horizontal="center" vertical="center" wrapText="1" indent="1"/>
    </xf>
    <xf numFmtId="49" fontId="4" fillId="2" borderId="3" xfId="0" applyNumberFormat="1" applyFont="1" applyFill="1" applyBorder="1" applyAlignment="1">
      <alignment horizontal="center" vertical="center" wrapText="1" indent="1"/>
    </xf>
    <xf numFmtId="0" fontId="4" fillId="2" borderId="3" xfId="0" applyFont="1" applyFill="1" applyBorder="1" applyAlignment="1">
      <alignment horizontal="center" vertical="center" wrapText="1" indent="1"/>
    </xf>
    <xf numFmtId="164" fontId="4" fillId="2" borderId="3" xfId="0" applyNumberFormat="1" applyFont="1" applyFill="1" applyBorder="1" applyAlignment="1">
      <alignment horizontal="center" vertical="center" wrapText="1" indent="1"/>
    </xf>
    <xf numFmtId="164" fontId="4" fillId="2" borderId="40" xfId="0" applyNumberFormat="1" applyFont="1" applyFill="1" applyBorder="1" applyAlignment="1">
      <alignment horizontal="center" vertical="center" wrapText="1" indent="1"/>
    </xf>
    <xf numFmtId="2" fontId="4" fillId="2" borderId="4" xfId="0" applyNumberFormat="1" applyFont="1" applyFill="1" applyBorder="1" applyAlignment="1">
      <alignment horizontal="center" vertical="center" wrapText="1" indent="1"/>
    </xf>
    <xf numFmtId="164" fontId="6" fillId="0" borderId="6" xfId="0" applyNumberFormat="1" applyFont="1" applyBorder="1" applyAlignment="1">
      <alignment horizontal="right" indent="1"/>
    </xf>
    <xf numFmtId="14" fontId="6" fillId="0" borderId="7" xfId="0" applyNumberFormat="1" applyFont="1" applyBorder="1" applyAlignment="1">
      <alignment horizontal="left" indent="1"/>
    </xf>
    <xf numFmtId="164" fontId="6" fillId="0" borderId="8" xfId="0" applyNumberFormat="1" applyFont="1" applyBorder="1" applyAlignment="1">
      <alignment horizontal="right" indent="1"/>
    </xf>
    <xf numFmtId="2" fontId="6" fillId="0" borderId="9" xfId="0" applyNumberFormat="1" applyFont="1" applyBorder="1" applyAlignment="1">
      <alignment horizontal="left" indent="1"/>
    </xf>
    <xf numFmtId="0" fontId="7" fillId="0" borderId="0" xfId="0" applyFont="1"/>
    <xf numFmtId="0" fontId="7" fillId="3" borderId="10" xfId="0" applyFont="1" applyFill="1" applyBorder="1" applyAlignment="1">
      <alignment horizontal="center" vertical="top" wrapText="1" indent="1"/>
    </xf>
    <xf numFmtId="49" fontId="7" fillId="3" borderId="11" xfId="0" applyNumberFormat="1" applyFont="1" applyFill="1" applyBorder="1" applyAlignment="1">
      <alignment horizontal="left" vertical="top" wrapText="1" indent="1"/>
    </xf>
    <xf numFmtId="0" fontId="8" fillId="0" borderId="10" xfId="0" applyFont="1" applyBorder="1" applyAlignment="1">
      <alignment horizontal="center" vertical="top" wrapText="1" indent="1"/>
    </xf>
    <xf numFmtId="49" fontId="8" fillId="0" borderId="11" xfId="0" applyNumberFormat="1" applyFont="1" applyBorder="1" applyAlignment="1">
      <alignment horizontal="left" vertical="top" wrapText="1" indent="1"/>
    </xf>
    <xf numFmtId="0" fontId="8" fillId="0" borderId="11" xfId="0" applyFont="1" applyBorder="1" applyAlignment="1">
      <alignment horizontal="left" vertical="top" wrapText="1"/>
    </xf>
    <xf numFmtId="0" fontId="8" fillId="4" borderId="11" xfId="0" applyFont="1" applyFill="1" applyBorder="1" applyAlignment="1">
      <alignment horizontal="right" vertical="top" indent="1"/>
    </xf>
    <xf numFmtId="0" fontId="8" fillId="5" borderId="11" xfId="0" applyFont="1" applyFill="1" applyBorder="1" applyAlignment="1">
      <alignment horizontal="right" vertical="top" indent="1"/>
    </xf>
    <xf numFmtId="164" fontId="8" fillId="0" borderId="11" xfId="0" applyNumberFormat="1" applyFont="1" applyBorder="1" applyAlignment="1">
      <alignment horizontal="right" vertical="top" indent="1"/>
    </xf>
    <xf numFmtId="164" fontId="8" fillId="6" borderId="11" xfId="0" applyNumberFormat="1" applyFont="1" applyFill="1" applyBorder="1" applyAlignment="1">
      <alignment horizontal="right" vertical="top" indent="1"/>
    </xf>
    <xf numFmtId="164" fontId="8" fillId="6" borderId="13" xfId="0" applyNumberFormat="1" applyFont="1" applyFill="1" applyBorder="1" applyAlignment="1">
      <alignment horizontal="right" vertical="top" indent="1"/>
    </xf>
    <xf numFmtId="2" fontId="8" fillId="0" borderId="12" xfId="0" applyNumberFormat="1" applyFont="1" applyBorder="1" applyAlignment="1">
      <alignment horizontal="right" vertical="top" indent="1"/>
    </xf>
    <xf numFmtId="0" fontId="9" fillId="0" borderId="0" xfId="0" applyFont="1"/>
    <xf numFmtId="0" fontId="9" fillId="7" borderId="10" xfId="0" applyFont="1" applyFill="1" applyBorder="1" applyAlignment="1">
      <alignment horizontal="center" vertical="top" wrapText="1" indent="1"/>
    </xf>
    <xf numFmtId="49" fontId="9" fillId="7" borderId="11" xfId="0" applyNumberFormat="1" applyFont="1" applyFill="1" applyBorder="1" applyAlignment="1">
      <alignment horizontal="left" vertical="top" wrapText="1" indent="1"/>
    </xf>
    <xf numFmtId="0" fontId="4" fillId="0" borderId="0" xfId="0" applyFont="1" applyAlignment="1">
      <alignment horizontal="right" vertical="center" wrapText="1" indent="1"/>
    </xf>
    <xf numFmtId="164" fontId="4" fillId="2" borderId="3" xfId="0" applyNumberFormat="1" applyFont="1" applyFill="1" applyBorder="1" applyAlignment="1">
      <alignment horizontal="right" vertical="center" wrapText="1" indent="1"/>
    </xf>
    <xf numFmtId="2" fontId="4" fillId="2" borderId="4" xfId="0" applyNumberFormat="1" applyFont="1" applyFill="1" applyBorder="1" applyAlignment="1">
      <alignment horizontal="right" vertical="center" wrapText="1" indent="1"/>
    </xf>
    <xf numFmtId="164" fontId="4" fillId="2" borderId="40" xfId="0" applyNumberFormat="1" applyFont="1" applyFill="1" applyBorder="1" applyAlignment="1">
      <alignment horizontal="right" vertical="center" wrapText="1" indent="1"/>
    </xf>
    <xf numFmtId="0" fontId="8" fillId="0" borderId="11" xfId="0" applyFont="1" applyBorder="1" applyAlignment="1">
      <alignment horizontal="center" vertical="top" wrapText="1" indent="1"/>
    </xf>
    <xf numFmtId="4" fontId="11" fillId="0" borderId="0" xfId="0" applyNumberFormat="1" applyFont="1" applyAlignment="1">
      <alignment horizontal="right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right" vertical="center" wrapText="1"/>
    </xf>
    <xf numFmtId="4" fontId="2" fillId="0" borderId="27" xfId="0" applyNumberFormat="1" applyFont="1" applyBorder="1" applyAlignment="1">
      <alignment horizontal="right" vertical="center" wrapText="1"/>
    </xf>
    <xf numFmtId="4" fontId="2" fillId="0" borderId="16" xfId="0" applyNumberFormat="1" applyFont="1" applyBorder="1" applyAlignment="1">
      <alignment horizontal="righ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right" vertical="center" wrapText="1"/>
    </xf>
    <xf numFmtId="4" fontId="2" fillId="0" borderId="13" xfId="0" applyNumberFormat="1" applyFont="1" applyBorder="1" applyAlignment="1">
      <alignment horizontal="right" vertical="center" wrapText="1"/>
    </xf>
    <xf numFmtId="4" fontId="2" fillId="0" borderId="12" xfId="0" applyNumberFormat="1" applyFont="1" applyBorder="1" applyAlignment="1">
      <alignment horizontal="right" vertical="center" wrapText="1"/>
    </xf>
    <xf numFmtId="4" fontId="3" fillId="8" borderId="18" xfId="0" applyNumberFormat="1" applyFont="1" applyFill="1" applyBorder="1" applyAlignment="1">
      <alignment horizontal="right" vertical="center" wrapText="1"/>
    </xf>
    <xf numFmtId="4" fontId="13" fillId="0" borderId="0" xfId="0" applyNumberFormat="1" applyFont="1" applyAlignment="1">
      <alignment horizontal="right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4" fontId="2" fillId="0" borderId="22" xfId="0" applyNumberFormat="1" applyFont="1" applyBorder="1" applyAlignment="1">
      <alignment horizontal="right" vertical="center" wrapText="1"/>
    </xf>
    <xf numFmtId="4" fontId="2" fillId="0" borderId="41" xfId="0" applyNumberFormat="1" applyFont="1" applyBorder="1" applyAlignment="1">
      <alignment horizontal="right" vertical="center" wrapText="1"/>
    </xf>
    <xf numFmtId="4" fontId="2" fillId="0" borderId="23" xfId="0" applyNumberFormat="1" applyFont="1" applyBorder="1" applyAlignment="1">
      <alignment horizontal="right" vertical="center" wrapText="1"/>
    </xf>
    <xf numFmtId="4" fontId="2" fillId="0" borderId="24" xfId="0" applyNumberFormat="1" applyFont="1" applyBorder="1" applyAlignment="1">
      <alignment horizontal="right" vertical="center" wrapText="1"/>
    </xf>
    <xf numFmtId="4" fontId="3" fillId="10" borderId="26" xfId="0" applyNumberFormat="1" applyFont="1" applyFill="1" applyBorder="1" applyAlignment="1">
      <alignment horizontal="right" vertical="center" wrapText="1"/>
    </xf>
    <xf numFmtId="164" fontId="6" fillId="0" borderId="6" xfId="0" applyNumberFormat="1" applyFon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2" fontId="6" fillId="0" borderId="9" xfId="0" applyNumberFormat="1" applyFont="1" applyBorder="1" applyAlignment="1">
      <alignment horizontal="center"/>
    </xf>
    <xf numFmtId="0" fontId="8" fillId="4" borderId="11" xfId="0" applyFont="1" applyFill="1" applyBorder="1" applyAlignment="1">
      <alignment horizontal="center" vertical="top"/>
    </xf>
    <xf numFmtId="0" fontId="8" fillId="5" borderId="11" xfId="0" applyFont="1" applyFill="1" applyBorder="1" applyAlignment="1">
      <alignment horizontal="center" vertical="top"/>
    </xf>
    <xf numFmtId="164" fontId="8" fillId="0" borderId="11" xfId="0" applyNumberFormat="1" applyFont="1" applyBorder="1" applyAlignment="1">
      <alignment horizontal="center" vertical="top"/>
    </xf>
    <xf numFmtId="164" fontId="8" fillId="6" borderId="11" xfId="0" applyNumberFormat="1" applyFont="1" applyFill="1" applyBorder="1" applyAlignment="1">
      <alignment horizontal="center" vertical="top"/>
    </xf>
    <xf numFmtId="164" fontId="8" fillId="6" borderId="13" xfId="0" applyNumberFormat="1" applyFont="1" applyFill="1" applyBorder="1" applyAlignment="1">
      <alignment horizontal="center" vertical="top"/>
    </xf>
    <xf numFmtId="2" fontId="8" fillId="0" borderId="12" xfId="0" applyNumberFormat="1" applyFont="1" applyBorder="1" applyAlignment="1">
      <alignment horizontal="center" vertical="top"/>
    </xf>
    <xf numFmtId="164" fontId="4" fillId="2" borderId="3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29" xfId="0" applyFont="1" applyBorder="1"/>
    <xf numFmtId="0" fontId="3" fillId="0" borderId="30" xfId="0" applyFont="1" applyBorder="1"/>
    <xf numFmtId="0" fontId="3" fillId="0" borderId="30" xfId="0" applyFont="1" applyBorder="1" applyAlignment="1">
      <alignment horizontal="center"/>
    </xf>
    <xf numFmtId="165" fontId="3" fillId="0" borderId="30" xfId="1" applyFont="1" applyBorder="1" applyAlignment="1" applyProtection="1">
      <alignment horizontal="center"/>
    </xf>
    <xf numFmtId="2" fontId="3" fillId="0" borderId="31" xfId="0" applyNumberFormat="1" applyFont="1" applyBorder="1" applyAlignment="1">
      <alignment horizontal="center"/>
    </xf>
    <xf numFmtId="164" fontId="8" fillId="0" borderId="0" xfId="0" applyNumberFormat="1" applyFont="1" applyAlignment="1">
      <alignment horizontal="center" vertical="top"/>
    </xf>
    <xf numFmtId="2" fontId="8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11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top" wrapText="1" indent="1"/>
    </xf>
    <xf numFmtId="49" fontId="8" fillId="0" borderId="0" xfId="0" applyNumberFormat="1" applyFont="1" applyAlignment="1">
      <alignment horizontal="left" vertical="top" wrapText="1" inden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right" vertical="top" indent="1"/>
    </xf>
    <xf numFmtId="164" fontId="8" fillId="0" borderId="0" xfId="0" applyNumberFormat="1" applyFont="1" applyAlignment="1">
      <alignment horizontal="right" vertical="top" indent="1"/>
    </xf>
    <xf numFmtId="2" fontId="8" fillId="0" borderId="0" xfId="0" applyNumberFormat="1" applyFont="1" applyAlignment="1">
      <alignment horizontal="right" vertical="top" indent="1"/>
    </xf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left" vertical="center" indent="1"/>
    </xf>
    <xf numFmtId="164" fontId="6" fillId="0" borderId="6" xfId="0" applyNumberFormat="1" applyFont="1" applyBorder="1" applyAlignment="1">
      <alignment horizontal="right" indent="1"/>
    </xf>
    <xf numFmtId="164" fontId="6" fillId="0" borderId="8" xfId="0" applyNumberFormat="1" applyFont="1" applyBorder="1" applyAlignment="1">
      <alignment horizontal="right" indent="1"/>
    </xf>
    <xf numFmtId="0" fontId="7" fillId="3" borderId="12" xfId="0" applyFont="1" applyFill="1" applyBorder="1" applyAlignment="1">
      <alignment horizontal="left" vertical="top" wrapText="1"/>
    </xf>
    <xf numFmtId="0" fontId="9" fillId="7" borderId="12" xfId="0" applyFont="1" applyFill="1" applyBorder="1" applyAlignment="1">
      <alignment indent="1"/>
    </xf>
    <xf numFmtId="0" fontId="4" fillId="2" borderId="2" xfId="0" applyFont="1" applyFill="1" applyBorder="1" applyAlignment="1">
      <alignment horizontal="right" vertical="center" wrapText="1" indent="1"/>
    </xf>
    <xf numFmtId="0" fontId="9" fillId="7" borderId="12" xfId="0" applyFont="1" applyFill="1" applyBorder="1" applyAlignment="1">
      <alignment indent="4"/>
    </xf>
    <xf numFmtId="0" fontId="9" fillId="7" borderId="12" xfId="0" applyFont="1" applyFill="1" applyBorder="1" applyAlignment="1">
      <alignment indent="5"/>
    </xf>
    <xf numFmtId="0" fontId="9" fillId="7" borderId="12" xfId="0" applyFont="1" applyFill="1" applyBorder="1" applyAlignment="1">
      <alignment indent="7"/>
    </xf>
    <xf numFmtId="0" fontId="12" fillId="0" borderId="20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" fontId="13" fillId="0" borderId="20" xfId="0" applyNumberFormat="1" applyFont="1" applyBorder="1" applyAlignment="1">
      <alignment horizontal="right" vertical="center" wrapText="1"/>
    </xf>
    <xf numFmtId="0" fontId="3" fillId="9" borderId="35" xfId="0" applyFont="1" applyFill="1" applyBorder="1" applyAlignment="1">
      <alignment horizontal="left" vertical="center" wrapText="1"/>
    </xf>
    <xf numFmtId="0" fontId="3" fillId="9" borderId="21" xfId="0" applyFont="1" applyFill="1" applyBorder="1" applyAlignment="1">
      <alignment horizontal="left" vertical="center" wrapText="1"/>
    </xf>
    <xf numFmtId="0" fontId="4" fillId="2" borderId="39" xfId="0" applyFont="1" applyFill="1" applyBorder="1" applyAlignment="1">
      <alignment horizontal="right" vertical="center" wrapText="1" indent="1"/>
    </xf>
    <xf numFmtId="0" fontId="10" fillId="0" borderId="2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" fontId="11" fillId="0" borderId="0" xfId="0" applyNumberFormat="1" applyFont="1" applyAlignment="1">
      <alignment horizontal="right" vertical="center" wrapText="1"/>
    </xf>
    <xf numFmtId="164" fontId="6" fillId="0" borderId="6" xfId="0" applyNumberFormat="1" applyFon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10" borderId="37" xfId="0" applyFont="1" applyFill="1" applyBorder="1" applyAlignment="1">
      <alignment horizontal="left" vertical="center" wrapText="1"/>
    </xf>
    <xf numFmtId="0" fontId="3" fillId="10" borderId="25" xfId="0" applyFont="1" applyFill="1" applyBorder="1" applyAlignment="1">
      <alignment horizontal="left" vertical="center" wrapText="1"/>
    </xf>
    <xf numFmtId="0" fontId="3" fillId="8" borderId="34" xfId="0" applyFont="1" applyFill="1" applyBorder="1" applyAlignment="1">
      <alignment horizontal="left" vertical="center" wrapText="1"/>
    </xf>
    <xf numFmtId="0" fontId="3" fillId="8" borderId="17" xfId="0" applyFont="1" applyFill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indent="1"/>
    </xf>
    <xf numFmtId="0" fontId="8" fillId="0" borderId="10" xfId="0" applyFont="1" applyFill="1" applyBorder="1" applyAlignment="1">
      <alignment horizontal="center" vertical="top" wrapText="1" inden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right" vertical="center" wrapText="1"/>
    </xf>
    <xf numFmtId="4" fontId="2" fillId="0" borderId="13" xfId="0" applyNumberFormat="1" applyFont="1" applyFill="1" applyBorder="1" applyAlignment="1">
      <alignment horizontal="right" vertical="center" wrapText="1"/>
    </xf>
    <xf numFmtId="4" fontId="2" fillId="0" borderId="12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0" fontId="8" fillId="0" borderId="13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left" vertical="center" wrapText="1"/>
    </xf>
    <xf numFmtId="164" fontId="8" fillId="0" borderId="13" xfId="0" applyNumberFormat="1" applyFont="1" applyFill="1" applyBorder="1" applyAlignment="1">
      <alignment horizontal="center" vertical="top"/>
    </xf>
    <xf numFmtId="164" fontId="8" fillId="0" borderId="13" xfId="0" applyNumberFormat="1" applyFont="1" applyFill="1" applyBorder="1" applyAlignment="1">
      <alignment horizontal="right" vertical="top"/>
    </xf>
    <xf numFmtId="2" fontId="8" fillId="0" borderId="12" xfId="0" applyNumberFormat="1" applyFont="1" applyFill="1" applyBorder="1" applyAlignment="1">
      <alignment horizontal="right" vertical="top"/>
    </xf>
    <xf numFmtId="0" fontId="3" fillId="0" borderId="32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top" wrapText="1" indent="1"/>
    </xf>
    <xf numFmtId="0" fontId="2" fillId="0" borderId="28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top" wrapText="1" inden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99"/>
      <rgbColor rgb="FF808000"/>
      <rgbColor rgb="FF800080"/>
      <rgbColor rgb="FF008080"/>
      <rgbColor rgb="FFCFD8DC"/>
      <rgbColor rgb="FF707070"/>
      <rgbColor rgb="FF9999FF"/>
      <rgbColor rgb="FF993366"/>
      <rgbColor rgb="FFFFFFCC"/>
      <rgbColor rgb="FFDCE6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CEFF1"/>
      <rgbColor rgb="FFEBF1DE"/>
      <rgbColor rgb="FFF5F2E0"/>
      <rgbColor rgb="FFF9F7ED"/>
      <rgbColor rgb="FFFF99CC"/>
      <rgbColor rgb="FFCC99FF"/>
      <rgbColor rgb="FFF2F2F2"/>
      <rgbColor rgb="FF3366FF"/>
      <rgbColor rgb="FF33CCCC"/>
      <rgbColor rgb="FF99CC00"/>
      <rgbColor rgb="FFFFCC00"/>
      <rgbColor rgb="FFFF9900"/>
      <rgbColor rgb="FFFF6600"/>
      <rgbColor rgb="FF546E7A"/>
      <rgbColor rgb="FF969696"/>
      <rgbColor rgb="FF003366"/>
      <rgbColor rgb="FF339966"/>
      <rgbColor rgb="FF003300"/>
      <rgbColor rgb="FF333300"/>
      <rgbColor rgb="FFE65100"/>
      <rgbColor rgb="FF993366"/>
      <rgbColor rgb="FF333399"/>
      <rgbColor rgb="FF455A6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15"/>
  <sheetViews>
    <sheetView showGridLines="0" tabSelected="1" zoomScaleNormal="100" workbookViewId="0">
      <selection sqref="A1:XFD1048576"/>
    </sheetView>
  </sheetViews>
  <sheetFormatPr defaultRowHeight="15" x14ac:dyDescent="0.25"/>
  <cols>
    <col min="1" max="1" width="3" style="1" customWidth="1"/>
    <col min="2" max="2" width="6" style="85" customWidth="1"/>
    <col min="3" max="3" width="13" style="86" customWidth="1"/>
    <col min="4" max="4" width="50" style="87" customWidth="1"/>
    <col min="5" max="5" width="20" style="87" customWidth="1"/>
    <col min="6" max="7" width="12" style="88" customWidth="1"/>
    <col min="8" max="8" width="16.42578125" style="89" customWidth="1"/>
    <col min="9" max="9" width="14" style="89" customWidth="1"/>
    <col min="10" max="10" width="13" style="89" customWidth="1"/>
    <col min="11" max="13" width="14" style="89" customWidth="1"/>
    <col min="14" max="15" width="16" style="89" customWidth="1"/>
    <col min="16" max="16" width="16.140625" style="90" customWidth="1"/>
    <col min="17" max="1026" width="9.140625" style="1" customWidth="1"/>
    <col min="1027" max="16384" width="9.140625" style="1"/>
  </cols>
  <sheetData>
    <row r="1" spans="2:16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4" t="s">
        <v>0</v>
      </c>
      <c r="M1" s="3"/>
      <c r="N1" s="3"/>
      <c r="O1" s="3"/>
      <c r="P1" s="3"/>
    </row>
    <row r="2" spans="2:16" x14ac:dyDescent="0.25">
      <c r="B2" s="2"/>
      <c r="C2" s="2"/>
      <c r="D2" s="2"/>
      <c r="E2" s="2"/>
      <c r="F2" s="3"/>
      <c r="G2" s="3"/>
      <c r="H2" s="3"/>
      <c r="I2" s="3"/>
      <c r="J2" s="3"/>
      <c r="K2" s="3"/>
      <c r="L2" s="5" t="s">
        <v>1</v>
      </c>
      <c r="M2" s="3"/>
      <c r="N2" s="3"/>
      <c r="O2" s="3"/>
      <c r="P2" s="3"/>
    </row>
    <row r="3" spans="2:16" x14ac:dyDescent="0.25">
      <c r="B3" s="2"/>
      <c r="C3" s="2"/>
      <c r="D3" s="2"/>
      <c r="E3" s="2"/>
      <c r="F3" s="3"/>
      <c r="G3" s="3"/>
      <c r="H3" s="3"/>
      <c r="I3" s="3"/>
      <c r="J3" s="3"/>
      <c r="K3" s="3"/>
      <c r="L3" s="6"/>
      <c r="M3" s="3"/>
      <c r="N3" s="3"/>
      <c r="O3" s="3"/>
      <c r="P3" s="3"/>
    </row>
    <row r="4" spans="2:16" x14ac:dyDescent="0.25">
      <c r="B4" s="2"/>
      <c r="C4" s="2"/>
      <c r="D4" s="2"/>
      <c r="E4" s="2"/>
      <c r="F4" s="3"/>
      <c r="G4" s="3"/>
      <c r="H4" s="3"/>
      <c r="I4" s="3"/>
      <c r="J4" s="3"/>
      <c r="K4" s="3"/>
      <c r="L4" s="7"/>
      <c r="M4" s="7"/>
      <c r="N4" s="6" t="s">
        <v>1041</v>
      </c>
      <c r="O4" s="6"/>
      <c r="P4" s="3"/>
    </row>
    <row r="5" spans="2:16" x14ac:dyDescent="0.25">
      <c r="B5" s="91" t="s">
        <v>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</row>
    <row r="6" spans="2:16" x14ac:dyDescent="0.25">
      <c r="B6" s="1"/>
      <c r="C6" s="1"/>
      <c r="D6" s="1"/>
      <c r="E6" s="1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2:16" s="9" customFormat="1" ht="39.950000000000003" customHeight="1" x14ac:dyDescent="0.25">
      <c r="B7" s="10" t="s">
        <v>3</v>
      </c>
      <c r="C7" s="11" t="s">
        <v>4</v>
      </c>
      <c r="D7" s="12" t="s">
        <v>5</v>
      </c>
      <c r="E7" s="12" t="s">
        <v>6</v>
      </c>
      <c r="F7" s="12" t="s">
        <v>7</v>
      </c>
      <c r="G7" s="12" t="s">
        <v>8</v>
      </c>
      <c r="H7" s="13" t="s">
        <v>9</v>
      </c>
      <c r="I7" s="13" t="s">
        <v>10</v>
      </c>
      <c r="J7" s="13" t="s">
        <v>11</v>
      </c>
      <c r="K7" s="13" t="s">
        <v>12</v>
      </c>
      <c r="L7" s="13" t="s">
        <v>13</v>
      </c>
      <c r="M7" s="13" t="s">
        <v>14</v>
      </c>
      <c r="N7" s="13" t="s">
        <v>15</v>
      </c>
      <c r="O7" s="14" t="s">
        <v>1040</v>
      </c>
      <c r="P7" s="15" t="s">
        <v>16</v>
      </c>
    </row>
    <row r="8" spans="2:16" x14ac:dyDescent="0.25">
      <c r="B8" s="92" t="s">
        <v>1028</v>
      </c>
      <c r="C8" s="92"/>
      <c r="D8" s="92"/>
      <c r="E8" s="92"/>
      <c r="F8" s="92"/>
      <c r="G8" s="92"/>
      <c r="H8" s="92"/>
      <c r="I8" s="92"/>
      <c r="J8" s="92"/>
      <c r="K8" s="92"/>
      <c r="L8" s="92"/>
      <c r="M8" s="93" t="s">
        <v>17</v>
      </c>
      <c r="N8" s="93"/>
      <c r="O8" s="16"/>
      <c r="P8" s="17">
        <v>46085</v>
      </c>
    </row>
    <row r="9" spans="2:16" x14ac:dyDescent="0.25"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4" t="s">
        <v>18</v>
      </c>
      <c r="N9" s="94"/>
      <c r="O9" s="18"/>
      <c r="P9" s="19">
        <v>12197</v>
      </c>
    </row>
    <row r="10" spans="2:16" s="20" customFormat="1" ht="12.75" customHeight="1" x14ac:dyDescent="0.2">
      <c r="B10" s="21"/>
      <c r="C10" s="22" t="s">
        <v>19</v>
      </c>
      <c r="D10" s="95" t="s">
        <v>20</v>
      </c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</row>
    <row r="11" spans="2:16" ht="30" x14ac:dyDescent="0.25">
      <c r="B11" s="23">
        <v>1</v>
      </c>
      <c r="C11" s="24" t="s">
        <v>21</v>
      </c>
      <c r="D11" s="25" t="s">
        <v>22</v>
      </c>
      <c r="E11" s="25" t="s">
        <v>23</v>
      </c>
      <c r="F11" s="26">
        <v>12.196999999999999</v>
      </c>
      <c r="G11" s="27">
        <v>1</v>
      </c>
      <c r="H11" s="28">
        <f>F11 * G11 * 4604.70976</f>
        <v>56163.644942719991</v>
      </c>
      <c r="I11" s="28">
        <f>F11 * G11 * 3259.422945</f>
        <v>39755.181660164992</v>
      </c>
      <c r="J11" s="28">
        <f>F11 * G11 * 0</f>
        <v>0</v>
      </c>
      <c r="K11" s="28">
        <f>F11 * G11 * 4383.683692</f>
        <v>53467.789991323989</v>
      </c>
      <c r="L11" s="28">
        <f>F11 * G11 * 1286.020722</f>
        <v>15685.594746233999</v>
      </c>
      <c r="M11" s="28">
        <f>F11 * G11 * 920.941952</f>
        <v>11232.728988543999</v>
      </c>
      <c r="N11" s="29">
        <f>SUM(H11:M11)</f>
        <v>176304.94032898697</v>
      </c>
      <c r="O11" s="30">
        <f>N11*1.07*1.09*1.05</f>
        <v>215905.67450098239</v>
      </c>
      <c r="P11" s="31">
        <f>IF(P9&gt;0,O11/$P$9/12,0)</f>
        <v>1.4751282726693884</v>
      </c>
    </row>
    <row r="12" spans="2:16" s="32" customFormat="1" ht="14.25" x14ac:dyDescent="0.2">
      <c r="B12" s="33"/>
      <c r="C12" s="34" t="s">
        <v>24</v>
      </c>
      <c r="D12" s="96" t="s">
        <v>25</v>
      </c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</row>
    <row r="13" spans="2:16" ht="30" x14ac:dyDescent="0.25">
      <c r="B13" s="23">
        <v>2</v>
      </c>
      <c r="C13" s="24" t="s">
        <v>26</v>
      </c>
      <c r="D13" s="25" t="s">
        <v>27</v>
      </c>
      <c r="E13" s="25" t="s">
        <v>23</v>
      </c>
      <c r="F13" s="26">
        <v>12.196999999999999</v>
      </c>
      <c r="G13" s="27">
        <v>2</v>
      </c>
      <c r="H13" s="28">
        <f>F13 * G13 * 833.40936</f>
        <v>20330.187927839997</v>
      </c>
      <c r="I13" s="28">
        <f>F13 * G13 * 0</f>
        <v>0</v>
      </c>
      <c r="J13" s="28">
        <f>F13 * G13 * 0</f>
        <v>0</v>
      </c>
      <c r="K13" s="28">
        <f>F13 * G13 * 793.405711</f>
        <v>19354.338914133998</v>
      </c>
      <c r="L13" s="28">
        <f>F13 * G13 * 170.815582</f>
        <v>4166.8753073079997</v>
      </c>
      <c r="M13" s="28">
        <f>F13 * G13 * 166.681872</f>
        <v>4066.0375855679995</v>
      </c>
      <c r="N13" s="29">
        <f>SUM(H13:M13)</f>
        <v>47917.439734849992</v>
      </c>
      <c r="O13" s="30">
        <f t="shared" ref="O13:O14" si="0">N13*1.07*1.09*1.05</f>
        <v>58680.415460893331</v>
      </c>
      <c r="P13" s="31">
        <f>IF($P$9&gt;0,O13/$P$9/12,0)</f>
        <v>0.40092109713381247</v>
      </c>
    </row>
    <row r="14" spans="2:16" ht="45" x14ac:dyDescent="0.25">
      <c r="B14" s="23">
        <v>3</v>
      </c>
      <c r="C14" s="24" t="s">
        <v>28</v>
      </c>
      <c r="D14" s="25" t="s">
        <v>29</v>
      </c>
      <c r="E14" s="25" t="s">
        <v>23</v>
      </c>
      <c r="F14" s="26">
        <v>12.196999999999999</v>
      </c>
      <c r="G14" s="27">
        <v>2</v>
      </c>
      <c r="H14" s="28">
        <f>F14 * G14 * 833.40936</f>
        <v>20330.187927839997</v>
      </c>
      <c r="I14" s="28">
        <f>F14 * G14 * 0</f>
        <v>0</v>
      </c>
      <c r="J14" s="28">
        <f>F14 * G14 * 0</f>
        <v>0</v>
      </c>
      <c r="K14" s="28">
        <f>F14 * G14 * 793.405711</f>
        <v>19354.338914133998</v>
      </c>
      <c r="L14" s="28">
        <f>F14 * G14 * 170.815582</f>
        <v>4166.8753073079997</v>
      </c>
      <c r="M14" s="28">
        <f>F14 * G14 * 166.681872</f>
        <v>4066.0375855679995</v>
      </c>
      <c r="N14" s="29">
        <f>SUM(H14:M14)</f>
        <v>47917.439734849992</v>
      </c>
      <c r="O14" s="30">
        <f t="shared" si="0"/>
        <v>58680.415460893331</v>
      </c>
      <c r="P14" s="31">
        <f>IF($P$9&gt;0,O14/$P$9/12,0)</f>
        <v>0.40092109713381247</v>
      </c>
    </row>
    <row r="15" spans="2:16" s="35" customFormat="1" ht="20.100000000000001" customHeight="1" x14ac:dyDescent="0.25">
      <c r="B15" s="97" t="s">
        <v>30</v>
      </c>
      <c r="C15" s="97"/>
      <c r="D15" s="97"/>
      <c r="E15" s="97"/>
      <c r="F15" s="97"/>
      <c r="G15" s="97"/>
      <c r="H15" s="36">
        <f t="shared" ref="H15:P15" si="1">SUM(H10:H14)</f>
        <v>96824.020798399986</v>
      </c>
      <c r="I15" s="36">
        <f t="shared" si="1"/>
        <v>39755.181660164992</v>
      </c>
      <c r="J15" s="36">
        <f t="shared" si="1"/>
        <v>0</v>
      </c>
      <c r="K15" s="36">
        <f t="shared" si="1"/>
        <v>92176.467819591984</v>
      </c>
      <c r="L15" s="36">
        <f t="shared" si="1"/>
        <v>24019.345360849999</v>
      </c>
      <c r="M15" s="36">
        <f t="shared" si="1"/>
        <v>19364.804159679996</v>
      </c>
      <c r="N15" s="36">
        <f t="shared" si="1"/>
        <v>272139.81979868695</v>
      </c>
      <c r="O15" s="36">
        <f t="shared" si="1"/>
        <v>333266.505422769</v>
      </c>
      <c r="P15" s="37">
        <f t="shared" si="1"/>
        <v>2.2769704669370134</v>
      </c>
    </row>
    <row r="16" spans="2:16" x14ac:dyDescent="0.25">
      <c r="B16" s="92" t="s">
        <v>1029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3"/>
      <c r="N16" s="93"/>
      <c r="O16" s="16"/>
      <c r="P16" s="17"/>
    </row>
    <row r="17" spans="2:16" x14ac:dyDescent="0.25"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4"/>
      <c r="N17" s="94"/>
      <c r="O17" s="18"/>
      <c r="P17" s="19"/>
    </row>
    <row r="18" spans="2:16" ht="13.5" customHeight="1" x14ac:dyDescent="0.25">
      <c r="B18" s="21"/>
      <c r="C18" s="22" t="s">
        <v>31</v>
      </c>
      <c r="D18" s="95" t="s">
        <v>32</v>
      </c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</row>
    <row r="19" spans="2:16" x14ac:dyDescent="0.25">
      <c r="B19" s="33"/>
      <c r="C19" s="34" t="s">
        <v>33</v>
      </c>
      <c r="D19" s="96" t="s">
        <v>34</v>
      </c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</row>
    <row r="20" spans="2:16" x14ac:dyDescent="0.25">
      <c r="B20" s="33"/>
      <c r="C20" s="34" t="s">
        <v>35</v>
      </c>
      <c r="D20" s="98" t="s">
        <v>36</v>
      </c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</row>
    <row r="21" spans="2:16" ht="45" x14ac:dyDescent="0.25">
      <c r="B21" s="23">
        <v>1</v>
      </c>
      <c r="C21" s="24" t="s">
        <v>37</v>
      </c>
      <c r="D21" s="25" t="s">
        <v>38</v>
      </c>
      <c r="E21" s="25" t="s">
        <v>39</v>
      </c>
      <c r="F21" s="26">
        <v>0.04</v>
      </c>
      <c r="G21" s="27">
        <v>1</v>
      </c>
      <c r="H21" s="28">
        <f>F21 * G21 * 24456.44276</f>
        <v>978.25771040000006</v>
      </c>
      <c r="I21" s="28">
        <f>F21 * G21 * 43788.476114</f>
        <v>1751.5390445599999</v>
      </c>
      <c r="J21" s="28">
        <f>F21 * G21 * 0</f>
        <v>0</v>
      </c>
      <c r="K21" s="28">
        <f>F21 * G21 * 23282.533508</f>
        <v>931.30134032000001</v>
      </c>
      <c r="L21" s="28">
        <f>F21 * G21 * 9610.3825</f>
        <v>384.4153</v>
      </c>
      <c r="M21" s="28">
        <f>F21 * G21 * 4891.288552</f>
        <v>195.65154208000001</v>
      </c>
      <c r="N21" s="29">
        <f>SUM(H21:M21)</f>
        <v>4241.1649373600003</v>
      </c>
      <c r="O21" s="30">
        <f t="shared" ref="O21:O25" si="2">N21*1.07*1.09*1.05</f>
        <v>5193.7941997651178</v>
      </c>
      <c r="P21" s="31">
        <f t="shared" ref="P21:P25" si="3">IF($P$9&gt;0,O21/$P$9/12,0)</f>
        <v>3.5485462270538642E-2</v>
      </c>
    </row>
    <row r="22" spans="2:16" ht="45" x14ac:dyDescent="0.25">
      <c r="B22" s="23">
        <v>2</v>
      </c>
      <c r="C22" s="24" t="s">
        <v>40</v>
      </c>
      <c r="D22" s="25" t="s">
        <v>41</v>
      </c>
      <c r="E22" s="25" t="s">
        <v>39</v>
      </c>
      <c r="F22" s="26">
        <v>4.1000000000000002E-2</v>
      </c>
      <c r="G22" s="27">
        <v>1</v>
      </c>
      <c r="H22" s="28">
        <f>F22 * G22 * 27176.06366</f>
        <v>1114.2186100599999</v>
      </c>
      <c r="I22" s="28">
        <f>F22 * G22 * 52555.356689</f>
        <v>2154.7696242490001</v>
      </c>
      <c r="J22" s="28">
        <f>F22 * G22 * 0</f>
        <v>0</v>
      </c>
      <c r="K22" s="28">
        <f>F22 * G22 * 25871.612604</f>
        <v>1060.7361167640001</v>
      </c>
      <c r="L22" s="28">
        <f>F22 * G22 * 11088.31846</f>
        <v>454.62105686000001</v>
      </c>
      <c r="M22" s="28">
        <f>F22 * G22 * 5435.212732</f>
        <v>222.843722012</v>
      </c>
      <c r="N22" s="29">
        <f>SUM(H22:M22)</f>
        <v>5007.1891299450008</v>
      </c>
      <c r="O22" s="30">
        <f t="shared" si="2"/>
        <v>6131.8789163675992</v>
      </c>
      <c r="P22" s="31">
        <f t="shared" si="3"/>
        <v>4.1894720808174135E-2</v>
      </c>
    </row>
    <row r="23" spans="2:16" ht="45" x14ac:dyDescent="0.25">
      <c r="B23" s="23">
        <v>3</v>
      </c>
      <c r="C23" s="24" t="s">
        <v>42</v>
      </c>
      <c r="D23" s="25" t="s">
        <v>43</v>
      </c>
      <c r="E23" s="25" t="s">
        <v>39</v>
      </c>
      <c r="F23" s="26">
        <v>6.0999999999999999E-2</v>
      </c>
      <c r="G23" s="27">
        <v>1</v>
      </c>
      <c r="H23" s="28">
        <f>F23 * G23 * 31930.3639</f>
        <v>1947.7521979000001</v>
      </c>
      <c r="I23" s="28">
        <f>F23 * G23 * 75371.049283</f>
        <v>4597.6340062629997</v>
      </c>
      <c r="J23" s="28">
        <f>F23 * G23 * 0</f>
        <v>0</v>
      </c>
      <c r="K23" s="28">
        <f>F23 * G23 * 30397.706433</f>
        <v>1854.2600924129999</v>
      </c>
      <c r="L23" s="28">
        <f>F23 * G23 * 14458.40756</f>
        <v>881.96286115999999</v>
      </c>
      <c r="M23" s="28">
        <f>F23 * G23 * 6386.07278</f>
        <v>389.55043958000005</v>
      </c>
      <c r="N23" s="29">
        <f>SUM(H23:M23)</f>
        <v>9671.1595973160001</v>
      </c>
      <c r="O23" s="30">
        <f t="shared" si="2"/>
        <v>11843.447110267136</v>
      </c>
      <c r="P23" s="31">
        <f t="shared" si="3"/>
        <v>8.091776058502867E-2</v>
      </c>
    </row>
    <row r="24" spans="2:16" ht="45" x14ac:dyDescent="0.25">
      <c r="B24" s="23">
        <v>4</v>
      </c>
      <c r="C24" s="24" t="s">
        <v>44</v>
      </c>
      <c r="D24" s="25" t="s">
        <v>45</v>
      </c>
      <c r="E24" s="25" t="s">
        <v>39</v>
      </c>
      <c r="F24" s="26">
        <v>8.1000000000000003E-2</v>
      </c>
      <c r="G24" s="27">
        <v>1</v>
      </c>
      <c r="H24" s="28">
        <f>F24 * G24 * 35214.05432</f>
        <v>2852.3383999200005</v>
      </c>
      <c r="I24" s="28">
        <f>F24 * G24 * 83626.35143</f>
        <v>6773.7344658299999</v>
      </c>
      <c r="J24" s="28">
        <f>F24 * G24 * 0</f>
        <v>0</v>
      </c>
      <c r="K24" s="28">
        <f>F24 * G24 * 33523.7797129999</f>
        <v>2715.426156752992</v>
      </c>
      <c r="L24" s="28">
        <f>F24 * G24 * 15998.239473</f>
        <v>1295.8573973130001</v>
      </c>
      <c r="M24" s="28">
        <f>F24 * G24 * 7042.810864</f>
        <v>570.46767998400003</v>
      </c>
      <c r="N24" s="29">
        <f>SUM(H24:M24)</f>
        <v>14207.824099799993</v>
      </c>
      <c r="O24" s="30">
        <f t="shared" si="2"/>
        <v>17399.114509976571</v>
      </c>
      <c r="P24" s="31">
        <f t="shared" si="3"/>
        <v>0.11887564230259197</v>
      </c>
    </row>
    <row r="25" spans="2:16" ht="45" x14ac:dyDescent="0.25">
      <c r="B25" s="23">
        <v>5</v>
      </c>
      <c r="C25" s="24" t="s">
        <v>46</v>
      </c>
      <c r="D25" s="25" t="s">
        <v>47</v>
      </c>
      <c r="E25" s="25" t="s">
        <v>39</v>
      </c>
      <c r="F25" s="26">
        <v>0.04</v>
      </c>
      <c r="G25" s="27">
        <v>1</v>
      </c>
      <c r="H25" s="28">
        <f>F25 * G25 * 44400.32936</f>
        <v>1776.0131744000003</v>
      </c>
      <c r="I25" s="28">
        <f>F25 * G25 * 132428.800475</f>
        <v>5297.1520190000001</v>
      </c>
      <c r="J25" s="28">
        <f>F25 * G25 * 0</f>
        <v>0</v>
      </c>
      <c r="K25" s="28">
        <f>F25 * G25 * 42269.113551</f>
        <v>1690.7645420400002</v>
      </c>
      <c r="L25" s="28">
        <f>F25 * G25 * 23005.3155559999</f>
        <v>920.21262223999599</v>
      </c>
      <c r="M25" s="28">
        <f>F25 * G25 * 8880.065872</f>
        <v>355.20263487999995</v>
      </c>
      <c r="N25" s="29">
        <f>SUM(H25:M25)</f>
        <v>10039.344992559996</v>
      </c>
      <c r="O25" s="30">
        <f t="shared" si="2"/>
        <v>12294.332468063863</v>
      </c>
      <c r="P25" s="31">
        <f t="shared" si="3"/>
        <v>8.3998336121340389E-2</v>
      </c>
    </row>
    <row r="26" spans="2:16" x14ac:dyDescent="0.25">
      <c r="B26" s="33"/>
      <c r="C26" s="34" t="s">
        <v>48</v>
      </c>
      <c r="D26" s="98" t="s">
        <v>49</v>
      </c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</row>
    <row r="27" spans="2:16" ht="45" x14ac:dyDescent="0.25">
      <c r="B27" s="23">
        <v>6</v>
      </c>
      <c r="C27" s="24" t="s">
        <v>50</v>
      </c>
      <c r="D27" s="25" t="s">
        <v>51</v>
      </c>
      <c r="E27" s="25" t="s">
        <v>52</v>
      </c>
      <c r="F27" s="26">
        <v>0.13</v>
      </c>
      <c r="G27" s="27">
        <v>1</v>
      </c>
      <c r="H27" s="28">
        <f>F27 * G27 * 7341.9396</f>
        <v>954.45214799999997</v>
      </c>
      <c r="I27" s="28">
        <f>F27 * G27 * 36274.6967</f>
        <v>4715.7105710000005</v>
      </c>
      <c r="J27" s="28">
        <f>F27 * G27 * 0</f>
        <v>0</v>
      </c>
      <c r="K27" s="28">
        <f>F27 * G27 * 6989.526499</f>
        <v>908.63844486999994</v>
      </c>
      <c r="L27" s="28">
        <f>F27 * G27 * 5313.647094</f>
        <v>690.77412221999998</v>
      </c>
      <c r="M27" s="28">
        <f>F27 * G27 * 1468.38792</f>
        <v>190.8904296</v>
      </c>
      <c r="N27" s="29">
        <f>SUM(H27:M27)</f>
        <v>7460.4657156900012</v>
      </c>
      <c r="O27" s="30">
        <f t="shared" ref="O27:O29" si="4">N27*1.07*1.09*1.05</f>
        <v>9136.1982224197127</v>
      </c>
      <c r="P27" s="31">
        <f t="shared" ref="P27:P29" si="5">IF($P$9&gt;0,O27/$P$9/12,0)</f>
        <v>6.2421075007650186E-2</v>
      </c>
    </row>
    <row r="28" spans="2:16" ht="45" x14ac:dyDescent="0.25">
      <c r="B28" s="23">
        <v>7</v>
      </c>
      <c r="C28" s="24" t="s">
        <v>53</v>
      </c>
      <c r="D28" s="25" t="s">
        <v>54</v>
      </c>
      <c r="E28" s="25" t="s">
        <v>52</v>
      </c>
      <c r="F28" s="26">
        <v>0.15</v>
      </c>
      <c r="G28" s="27">
        <v>1</v>
      </c>
      <c r="H28" s="28">
        <f>F28 * G28 * 8929.386</f>
        <v>1339.4078999999999</v>
      </c>
      <c r="I28" s="28">
        <f>F28 * G28 * 36274.6967</f>
        <v>5441.2045049999997</v>
      </c>
      <c r="J28" s="28">
        <f>F28 * G28 * 0</f>
        <v>0</v>
      </c>
      <c r="K28" s="28">
        <f>F28 * G28 * 8500.775472</f>
        <v>1275.1163207999998</v>
      </c>
      <c r="L28" s="28">
        <f>F28 * G28 * 5639.01010799999</f>
        <v>845.85151619999851</v>
      </c>
      <c r="M28" s="28">
        <f>F28 * G28 * 1785.8772</f>
        <v>267.88157999999999</v>
      </c>
      <c r="N28" s="29">
        <f>SUM(H28:M28)</f>
        <v>9169.4618219999975</v>
      </c>
      <c r="O28" s="30">
        <f t="shared" si="4"/>
        <v>11229.060489148529</v>
      </c>
      <c r="P28" s="31">
        <f t="shared" si="5"/>
        <v>7.6720098447354057E-2</v>
      </c>
    </row>
    <row r="29" spans="2:16" ht="45" x14ac:dyDescent="0.25">
      <c r="B29" s="23">
        <v>8</v>
      </c>
      <c r="C29" s="24" t="s">
        <v>55</v>
      </c>
      <c r="D29" s="25" t="s">
        <v>56</v>
      </c>
      <c r="E29" s="25" t="s">
        <v>52</v>
      </c>
      <c r="F29" s="26">
        <v>0.09</v>
      </c>
      <c r="G29" s="27">
        <v>1</v>
      </c>
      <c r="H29" s="28">
        <f>F29 * G29 * 10516.8324</f>
        <v>946.51491599999986</v>
      </c>
      <c r="I29" s="28">
        <f>F29 * G29 * 36274.6967</f>
        <v>3264.7227029999999</v>
      </c>
      <c r="J29" s="28">
        <f>F29 * G29 * 0</f>
        <v>0</v>
      </c>
      <c r="K29" s="28">
        <f>F29 * G29 * 10012.024445</f>
        <v>901.08220004999987</v>
      </c>
      <c r="L29" s="28">
        <f>F29 * G29 * 5964.373122</f>
        <v>536.79358098</v>
      </c>
      <c r="M29" s="28">
        <f>F29 * G29 * 2103.36648</f>
        <v>189.3029832</v>
      </c>
      <c r="N29" s="29">
        <f>SUM(H29:M29)</f>
        <v>5838.4163832300001</v>
      </c>
      <c r="O29" s="30">
        <f t="shared" si="4"/>
        <v>7149.8122791492078</v>
      </c>
      <c r="P29" s="31">
        <f t="shared" si="5"/>
        <v>4.8849527746913229E-2</v>
      </c>
    </row>
    <row r="30" spans="2:16" x14ac:dyDescent="0.25">
      <c r="B30" s="33"/>
      <c r="C30" s="34" t="s">
        <v>57</v>
      </c>
      <c r="D30" s="98" t="s">
        <v>58</v>
      </c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</row>
    <row r="31" spans="2:16" x14ac:dyDescent="0.25">
      <c r="B31" s="23">
        <v>9</v>
      </c>
      <c r="C31" s="24" t="s">
        <v>59</v>
      </c>
      <c r="D31" s="25" t="s">
        <v>60</v>
      </c>
      <c r="E31" s="25" t="s">
        <v>61</v>
      </c>
      <c r="F31" s="26">
        <v>0.04</v>
      </c>
      <c r="G31" s="27">
        <v>1</v>
      </c>
      <c r="H31" s="28">
        <f>F31 * G31 * 6415.29952</f>
        <v>256.61198079999997</v>
      </c>
      <c r="I31" s="28">
        <f>F31 * G31 * 5973.599044</f>
        <v>238.94396175999998</v>
      </c>
      <c r="J31" s="28">
        <f>F31 * G31 * 0</f>
        <v>0</v>
      </c>
      <c r="K31" s="28">
        <f>F31 * G31 * 6107.36514299999</f>
        <v>244.29460571999959</v>
      </c>
      <c r="L31" s="28">
        <f>F31 * G31 * 1942.10769</f>
        <v>77.684307599999997</v>
      </c>
      <c r="M31" s="28">
        <f>F31 * G31 * 1283.059904</f>
        <v>51.322396159999997</v>
      </c>
      <c r="N31" s="29">
        <f>SUM(H31:M31)</f>
        <v>868.85725203999959</v>
      </c>
      <c r="O31" s="30">
        <f t="shared" ref="O31:O33" si="6">N31*1.07*1.09*1.05</f>
        <v>1064.0156237069643</v>
      </c>
      <c r="P31" s="31">
        <f t="shared" ref="P31:P33" si="7">IF($P$9&gt;0,O31/$P$9/12,0)</f>
        <v>7.2696539019633548E-3</v>
      </c>
    </row>
    <row r="32" spans="2:16" x14ac:dyDescent="0.25">
      <c r="B32" s="23">
        <v>10</v>
      </c>
      <c r="C32" s="24" t="s">
        <v>62</v>
      </c>
      <c r="D32" s="25" t="s">
        <v>63</v>
      </c>
      <c r="E32" s="25" t="s">
        <v>61</v>
      </c>
      <c r="F32" s="26">
        <v>7.0000000000000007E-2</v>
      </c>
      <c r="G32" s="27">
        <v>1</v>
      </c>
      <c r="H32" s="28">
        <f>F32 * G32 * 9298.83136</f>
        <v>650.91819520000013</v>
      </c>
      <c r="I32" s="28">
        <f>F32 * G32 * 12956.685995</f>
        <v>906.96801965000009</v>
      </c>
      <c r="J32" s="28">
        <f>F32 * G32 * 0</f>
        <v>0</v>
      </c>
      <c r="K32" s="28">
        <f>F32 * G32 * 8852.48745499999</f>
        <v>619.67412184999932</v>
      </c>
      <c r="L32" s="28">
        <f>F32 * G32 * 3266.340505</f>
        <v>228.64383535000002</v>
      </c>
      <c r="M32" s="28">
        <f>F32 * G32 * 1859.766272</f>
        <v>130.18363904000003</v>
      </c>
      <c r="N32" s="29">
        <f>SUM(H32:M32)</f>
        <v>2536.3878110899991</v>
      </c>
      <c r="O32" s="30">
        <f t="shared" si="6"/>
        <v>3106.0985592779798</v>
      </c>
      <c r="P32" s="31">
        <f t="shared" si="7"/>
        <v>2.1221738673977069E-2</v>
      </c>
    </row>
    <row r="33" spans="2:16" x14ac:dyDescent="0.25">
      <c r="B33" s="23">
        <v>11</v>
      </c>
      <c r="C33" s="24" t="s">
        <v>64</v>
      </c>
      <c r="D33" s="25" t="s">
        <v>65</v>
      </c>
      <c r="E33" s="25" t="s">
        <v>61</v>
      </c>
      <c r="F33" s="26">
        <v>7.0000000000000007E-2</v>
      </c>
      <c r="G33" s="27">
        <v>1</v>
      </c>
      <c r="H33" s="28">
        <f>F33 * G33 * 15870.6016</f>
        <v>1110.9421120000002</v>
      </c>
      <c r="I33" s="28">
        <f>F33 * G33 * 23620.199127</f>
        <v>1653.4139388900001</v>
      </c>
      <c r="J33" s="28">
        <f>F33 * G33 * 0</f>
        <v>0</v>
      </c>
      <c r="K33" s="28">
        <f>F33 * G33 * 15108.812723</f>
        <v>1057.6168906099999</v>
      </c>
      <c r="L33" s="28">
        <f>F33 * G33 * 5732.959412</f>
        <v>401.30715884000006</v>
      </c>
      <c r="M33" s="28">
        <f>F33 * G33 * 3174.12032</f>
        <v>222.18842240000001</v>
      </c>
      <c r="N33" s="29">
        <f>SUM(H33:M33)</f>
        <v>4445.4685227399996</v>
      </c>
      <c r="O33" s="30">
        <f t="shared" si="6"/>
        <v>5443.9874349752454</v>
      </c>
      <c r="P33" s="31">
        <f t="shared" si="7"/>
        <v>3.7194852798333233E-2</v>
      </c>
    </row>
    <row r="34" spans="2:16" x14ac:dyDescent="0.25">
      <c r="B34" s="33"/>
      <c r="C34" s="34" t="s">
        <v>66</v>
      </c>
      <c r="D34" s="98" t="s">
        <v>67</v>
      </c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</row>
    <row r="35" spans="2:16" ht="45" x14ac:dyDescent="0.25">
      <c r="B35" s="23">
        <v>12</v>
      </c>
      <c r="C35" s="24" t="s">
        <v>68</v>
      </c>
      <c r="D35" s="25" t="s">
        <v>69</v>
      </c>
      <c r="E35" s="25" t="s">
        <v>70</v>
      </c>
      <c r="F35" s="26">
        <v>0.04</v>
      </c>
      <c r="G35" s="27">
        <v>1</v>
      </c>
      <c r="H35" s="28">
        <f>F35 * G35 * 25.796004</f>
        <v>1.03184016</v>
      </c>
      <c r="I35" s="28">
        <f>F35 * G35 * 3.709332</f>
        <v>0.14837328</v>
      </c>
      <c r="J35" s="28">
        <f>F35 * G35 * 0</f>
        <v>0</v>
      </c>
      <c r="K35" s="28">
        <f>F35 * G35 * 24.557796</f>
        <v>0.98231184000000005</v>
      </c>
      <c r="L35" s="28">
        <f>F35 * G35 * 5.676629</f>
        <v>0.22706516000000002</v>
      </c>
      <c r="M35" s="28">
        <f>F35 * G35 * 5.159201</f>
        <v>0.20636804000000003</v>
      </c>
      <c r="N35" s="29">
        <f>SUM(H35:M35)</f>
        <v>2.5959584800000002</v>
      </c>
      <c r="O35" s="30">
        <f t="shared" ref="O35:O37" si="8">N35*1.07*1.09*1.05</f>
        <v>3.1790496939852009</v>
      </c>
      <c r="P35" s="31">
        <f t="shared" ref="P35:P37" si="9">IF($P$9&gt;0,O35/$P$9/12,0)</f>
        <v>2.1720161337386246E-5</v>
      </c>
    </row>
    <row r="36" spans="2:16" ht="45" x14ac:dyDescent="0.25">
      <c r="B36" s="23">
        <v>13</v>
      </c>
      <c r="C36" s="24" t="s">
        <v>71</v>
      </c>
      <c r="D36" s="25" t="s">
        <v>72</v>
      </c>
      <c r="E36" s="25" t="s">
        <v>70</v>
      </c>
      <c r="F36" s="26">
        <v>7.0000000000000007E-2</v>
      </c>
      <c r="G36" s="27">
        <v>1</v>
      </c>
      <c r="H36" s="28">
        <f>F36 * G36 * 25.796004</f>
        <v>1.8057202800000001</v>
      </c>
      <c r="I36" s="28">
        <f>F36 * G36 * 7.63163</f>
        <v>0.53421410000000003</v>
      </c>
      <c r="J36" s="28">
        <f>F36 * G36 * 0</f>
        <v>0</v>
      </c>
      <c r="K36" s="28">
        <f>F36 * G36 * 24.557796</f>
        <v>1.7190457200000002</v>
      </c>
      <c r="L36" s="28">
        <f>F36 * G36 * 6.08846999999999</f>
        <v>0.42619289999999938</v>
      </c>
      <c r="M36" s="28">
        <f>F36 * G36 * 5.159201</f>
        <v>0.36114407000000004</v>
      </c>
      <c r="N36" s="29">
        <f>SUM(H36:M36)</f>
        <v>4.8463170699999996</v>
      </c>
      <c r="O36" s="30">
        <f t="shared" si="8"/>
        <v>5.9348725786780507</v>
      </c>
      <c r="P36" s="31">
        <f t="shared" si="9"/>
        <v>4.0548718118376449E-5</v>
      </c>
    </row>
    <row r="37" spans="2:16" ht="30" x14ac:dyDescent="0.25">
      <c r="B37" s="23">
        <v>14</v>
      </c>
      <c r="C37" s="24" t="s">
        <v>73</v>
      </c>
      <c r="D37" s="25" t="s">
        <v>74</v>
      </c>
      <c r="E37" s="25" t="s">
        <v>70</v>
      </c>
      <c r="F37" s="26">
        <v>7.0000000000000007E-2</v>
      </c>
      <c r="G37" s="27">
        <v>1</v>
      </c>
      <c r="H37" s="28">
        <f>F37 * G37 * 25.796004</f>
        <v>1.8057202800000001</v>
      </c>
      <c r="I37" s="28">
        <f>F37 * G37 * 5.546692</f>
        <v>0.38826844000000005</v>
      </c>
      <c r="J37" s="28">
        <f>F37 * G37 * 0</f>
        <v>0</v>
      </c>
      <c r="K37" s="28">
        <f>F37 * G37 * 24.557796</f>
        <v>1.7190457200000002</v>
      </c>
      <c r="L37" s="28">
        <f>F37 * G37 * 5.86955099999999</f>
        <v>0.41086856999999932</v>
      </c>
      <c r="M37" s="28">
        <f>F37 * G37 * 5.159201</f>
        <v>0.36114407000000004</v>
      </c>
      <c r="N37" s="29">
        <f>SUM(H37:M37)</f>
        <v>4.6850470799999995</v>
      </c>
      <c r="O37" s="30">
        <f t="shared" si="8"/>
        <v>5.7373789298742013</v>
      </c>
      <c r="P37" s="31">
        <f t="shared" si="9"/>
        <v>3.9199385982032477E-5</v>
      </c>
    </row>
    <row r="38" spans="2:16" x14ac:dyDescent="0.25">
      <c r="B38" s="33"/>
      <c r="C38" s="34" t="s">
        <v>75</v>
      </c>
      <c r="D38" s="98" t="s">
        <v>76</v>
      </c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</row>
    <row r="39" spans="2:16" ht="45" x14ac:dyDescent="0.25">
      <c r="B39" s="23">
        <v>15</v>
      </c>
      <c r="C39" s="24" t="s">
        <v>77</v>
      </c>
      <c r="D39" s="25" t="s">
        <v>78</v>
      </c>
      <c r="E39" s="25" t="s">
        <v>79</v>
      </c>
      <c r="F39" s="26">
        <v>0.01</v>
      </c>
      <c r="G39" s="27">
        <v>1</v>
      </c>
      <c r="H39" s="28">
        <f>F39 * G39 * 37394.48384</f>
        <v>373.94483840000004</v>
      </c>
      <c r="I39" s="28">
        <f>F39 * G39 * 11403.089455</f>
        <v>114.03089455</v>
      </c>
      <c r="J39" s="28">
        <f>F39 * G39 * 4211.35506</f>
        <v>42.113550599999996</v>
      </c>
      <c r="K39" s="28">
        <f>F39 * G39 * 37331.58619</f>
        <v>373.31586190000002</v>
      </c>
      <c r="L39" s="28">
        <f>F39 * G39 * 9485.754028</f>
        <v>94.857540279999995</v>
      </c>
      <c r="M39" s="28">
        <f>F39 * G39 * 7842.770208</f>
        <v>78.427702080000003</v>
      </c>
      <c r="N39" s="29">
        <f t="shared" ref="N39:N44" si="10">SUM(H39:M39)</f>
        <v>1076.6903878100002</v>
      </c>
      <c r="O39" s="30">
        <f t="shared" ref="O39:O44" si="11">N39*1.07*1.09*1.05</f>
        <v>1318.5311992679435</v>
      </c>
      <c r="P39" s="31">
        <f t="shared" ref="P39:P44" si="12">IF($P$9&gt;0,O39/$P$9/12,0)</f>
        <v>9.0085758743129688E-3</v>
      </c>
    </row>
    <row r="40" spans="2:16" ht="45" x14ac:dyDescent="0.25">
      <c r="B40" s="23">
        <v>16</v>
      </c>
      <c r="C40" s="24" t="s">
        <v>80</v>
      </c>
      <c r="D40" s="25" t="s">
        <v>81</v>
      </c>
      <c r="E40" s="25" t="s">
        <v>79</v>
      </c>
      <c r="F40" s="26">
        <v>0.01</v>
      </c>
      <c r="G40" s="27">
        <v>1</v>
      </c>
      <c r="H40" s="28">
        <f>F40 * G40 * 31272.070656</f>
        <v>312.72070656</v>
      </c>
      <c r="I40" s="28">
        <f>F40 * G40 * 15361.914472</f>
        <v>153.61914472000001</v>
      </c>
      <c r="J40" s="28">
        <f>F40 * G40 * 9686.116638</f>
        <v>96.86116638</v>
      </c>
      <c r="K40" s="28">
        <f>F40 * G40 * 33754.697685</f>
        <v>337.54697685000002</v>
      </c>
      <c r="L40" s="28">
        <f>F40 * G40 * 9457.853942</f>
        <v>94.578539419999998</v>
      </c>
      <c r="M40" s="28">
        <f>F40 * G40 * 7091.323043</f>
        <v>70.913230429999999</v>
      </c>
      <c r="N40" s="29">
        <f t="shared" si="10"/>
        <v>1066.2397643600002</v>
      </c>
      <c r="O40" s="30">
        <f t="shared" si="11"/>
        <v>1305.7332090317218</v>
      </c>
      <c r="P40" s="31">
        <f t="shared" si="12"/>
        <v>8.9211364067101322E-3</v>
      </c>
    </row>
    <row r="41" spans="2:16" ht="45" x14ac:dyDescent="0.25">
      <c r="B41" s="23">
        <v>17</v>
      </c>
      <c r="C41" s="24" t="s">
        <v>82</v>
      </c>
      <c r="D41" s="25" t="s">
        <v>83</v>
      </c>
      <c r="E41" s="25" t="s">
        <v>79</v>
      </c>
      <c r="F41" s="26">
        <v>0.02</v>
      </c>
      <c r="G41" s="27">
        <v>1</v>
      </c>
      <c r="H41" s="28">
        <f>F41 * G41 * 31272.070656</f>
        <v>625.44141311999999</v>
      </c>
      <c r="I41" s="28">
        <f>F41 * G41 * 21772.350497</f>
        <v>435.44700993999999</v>
      </c>
      <c r="J41" s="28">
        <f>F41 * G41 * 9686.116638</f>
        <v>193.72233276</v>
      </c>
      <c r="K41" s="28">
        <f>F41 * G41 * 33754.697685</f>
        <v>675.09395370000004</v>
      </c>
      <c r="L41" s="28">
        <f>F41 * G41 * 10130.9497249999</f>
        <v>202.61899449999802</v>
      </c>
      <c r="M41" s="28">
        <f>F41 * G41 * 7091.323043</f>
        <v>141.82646086</v>
      </c>
      <c r="N41" s="29">
        <f t="shared" si="10"/>
        <v>2274.1501648799976</v>
      </c>
      <c r="O41" s="30">
        <f t="shared" si="11"/>
        <v>2784.9584041645185</v>
      </c>
      <c r="P41" s="31">
        <f t="shared" si="12"/>
        <v>1.902761884182257E-2</v>
      </c>
    </row>
    <row r="42" spans="2:16" ht="45" x14ac:dyDescent="0.25">
      <c r="B42" s="23">
        <v>18</v>
      </c>
      <c r="C42" s="24" t="s">
        <v>84</v>
      </c>
      <c r="D42" s="25" t="s">
        <v>85</v>
      </c>
      <c r="E42" s="25" t="s">
        <v>79</v>
      </c>
      <c r="F42" s="26">
        <v>0.02</v>
      </c>
      <c r="G42" s="27">
        <v>1</v>
      </c>
      <c r="H42" s="28">
        <f>F42 * G42 * 35885.98272</f>
        <v>717.71965439999997</v>
      </c>
      <c r="I42" s="28">
        <f>F42 * G42 * 23587.985248</f>
        <v>471.75970496000002</v>
      </c>
      <c r="J42" s="28">
        <f>F42 * G42 * 12212.929674</f>
        <v>244.25859348000003</v>
      </c>
      <c r="K42" s="28">
        <f>F42 * G42 * 39186.364515</f>
        <v>783.72729030000005</v>
      </c>
      <c r="L42" s="28">
        <f>F42 * G42 * 11641.692527</f>
        <v>232.83385053999999</v>
      </c>
      <c r="M42" s="28">
        <f>F42 * G42 * 8232.42952</f>
        <v>164.64859039999999</v>
      </c>
      <c r="N42" s="29">
        <f t="shared" si="10"/>
        <v>2614.9476840800003</v>
      </c>
      <c r="O42" s="30">
        <f t="shared" si="11"/>
        <v>3202.3041581396301</v>
      </c>
      <c r="P42" s="31">
        <f t="shared" si="12"/>
        <v>2.1879042374761761E-2</v>
      </c>
    </row>
    <row r="43" spans="2:16" ht="45" x14ac:dyDescent="0.25">
      <c r="B43" s="23">
        <v>19</v>
      </c>
      <c r="C43" s="24" t="s">
        <v>86</v>
      </c>
      <c r="D43" s="25" t="s">
        <v>87</v>
      </c>
      <c r="E43" s="25" t="s">
        <v>79</v>
      </c>
      <c r="F43" s="26">
        <v>0.02</v>
      </c>
      <c r="G43" s="27">
        <v>1</v>
      </c>
      <c r="H43" s="28">
        <f>F43 * G43 * 32041.056</f>
        <v>640.82112000000006</v>
      </c>
      <c r="I43" s="28">
        <f>F43 * G43 * 33049.015277</f>
        <v>660.98030554000002</v>
      </c>
      <c r="J43" s="28">
        <f>F43 * G43 * 10361.385639</f>
        <v>207.22771278000002</v>
      </c>
      <c r="K43" s="28">
        <f>F43 * G43 * 34764.494999</f>
        <v>695.28989998000009</v>
      </c>
      <c r="L43" s="28">
        <f>F43 * G43 * 11572.674952</f>
        <v>231.45349904</v>
      </c>
      <c r="M43" s="28">
        <f>F43 * G43 * 7303.465336</f>
        <v>146.06930672000001</v>
      </c>
      <c r="N43" s="29">
        <f t="shared" si="10"/>
        <v>2581.8418440599999</v>
      </c>
      <c r="O43" s="30">
        <f t="shared" si="11"/>
        <v>3161.7622498635369</v>
      </c>
      <c r="P43" s="31">
        <f t="shared" si="12"/>
        <v>2.1602048658574083E-2</v>
      </c>
    </row>
    <row r="44" spans="2:16" ht="45" x14ac:dyDescent="0.25">
      <c r="B44" s="23">
        <v>20</v>
      </c>
      <c r="C44" s="24" t="s">
        <v>88</v>
      </c>
      <c r="D44" s="25" t="s">
        <v>89</v>
      </c>
      <c r="E44" s="25" t="s">
        <v>79</v>
      </c>
      <c r="F44" s="26">
        <v>0.01</v>
      </c>
      <c r="G44" s="27">
        <v>1</v>
      </c>
      <c r="H44" s="28">
        <f>F44 * G44 * 28452.457728</f>
        <v>284.52457728000002</v>
      </c>
      <c r="I44" s="28">
        <f>F44 * G44 * 31223.365831</f>
        <v>312.23365831000001</v>
      </c>
      <c r="J44" s="28">
        <f>F44 * G44 * 10361.385639</f>
        <v>103.61385639000001</v>
      </c>
      <c r="K44" s="28">
        <f>F44 * G44 * 31348.149444</f>
        <v>313.48149444000001</v>
      </c>
      <c r="L44" s="28">
        <f>F44 * G44 * 10645.462657</f>
        <v>106.45462657</v>
      </c>
      <c r="M44" s="28">
        <f>F44 * G44 * 6585.745682</f>
        <v>65.857456819999996</v>
      </c>
      <c r="N44" s="29">
        <f t="shared" si="10"/>
        <v>1186.1656698100001</v>
      </c>
      <c r="O44" s="30">
        <f t="shared" si="11"/>
        <v>1452.5962717343734</v>
      </c>
      <c r="P44" s="31">
        <f t="shared" si="12"/>
        <v>9.924546143412134E-3</v>
      </c>
    </row>
    <row r="45" spans="2:16" x14ac:dyDescent="0.25">
      <c r="B45" s="33"/>
      <c r="C45" s="34" t="s">
        <v>90</v>
      </c>
      <c r="D45" s="96" t="s">
        <v>91</v>
      </c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</row>
    <row r="46" spans="2:16" x14ac:dyDescent="0.25">
      <c r="B46" s="33"/>
      <c r="C46" s="34" t="s">
        <v>92</v>
      </c>
      <c r="D46" s="98" t="s">
        <v>93</v>
      </c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</row>
    <row r="47" spans="2:16" ht="30" x14ac:dyDescent="0.25">
      <c r="B47" s="23">
        <v>21</v>
      </c>
      <c r="C47" s="24" t="s">
        <v>94</v>
      </c>
      <c r="D47" s="25" t="s">
        <v>95</v>
      </c>
      <c r="E47" s="25" t="s">
        <v>96</v>
      </c>
      <c r="F47" s="26">
        <v>1</v>
      </c>
      <c r="G47" s="27">
        <v>1</v>
      </c>
      <c r="H47" s="28">
        <f>F47 * G47 * 2335.88432</f>
        <v>2335.8843200000001</v>
      </c>
      <c r="I47" s="28">
        <f>F47 * G47 * 0</f>
        <v>0</v>
      </c>
      <c r="J47" s="28">
        <f>F47 * G47 * 0</f>
        <v>0</v>
      </c>
      <c r="K47" s="28">
        <f>F47 * G47 * 2223.761873</f>
        <v>2223.7618729999999</v>
      </c>
      <c r="L47" s="28">
        <f>F47 * G47 * 478.76285</f>
        <v>478.76285000000001</v>
      </c>
      <c r="M47" s="28">
        <f>F47 * G47 * 467.176864</f>
        <v>467.17686400000002</v>
      </c>
      <c r="N47" s="29">
        <f>SUM(H47:M47)</f>
        <v>5505.5859070000006</v>
      </c>
      <c r="O47" s="30">
        <f t="shared" ref="O47" si="13">N47*1.07*1.09*1.05</f>
        <v>6742.2230855008065</v>
      </c>
      <c r="P47" s="31">
        <f>IF($P$9&gt;0,O47/$P$9/12,0)</f>
        <v>4.6064763777300476E-2</v>
      </c>
    </row>
    <row r="48" spans="2:16" x14ac:dyDescent="0.25">
      <c r="B48" s="33"/>
      <c r="C48" s="34" t="s">
        <v>97</v>
      </c>
      <c r="D48" s="98" t="s">
        <v>98</v>
      </c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</row>
    <row r="49" spans="2:16" x14ac:dyDescent="0.25">
      <c r="B49" s="23">
        <v>22</v>
      </c>
      <c r="C49" s="24" t="s">
        <v>99</v>
      </c>
      <c r="D49" s="25" t="s">
        <v>100</v>
      </c>
      <c r="E49" s="25" t="s">
        <v>101</v>
      </c>
      <c r="F49" s="26">
        <v>3</v>
      </c>
      <c r="G49" s="27">
        <v>1</v>
      </c>
      <c r="H49" s="28">
        <f>F49 * G49 * 1644.289776</f>
        <v>4932.8693280000007</v>
      </c>
      <c r="I49" s="28">
        <f>F49 * G49 * 3895.3788</f>
        <v>11686.136399999999</v>
      </c>
      <c r="J49" s="28">
        <f>F49 * G49 * 0</f>
        <v>0</v>
      </c>
      <c r="K49" s="28">
        <f>F49 * G49 * 1565.363866</f>
        <v>4696.091598</v>
      </c>
      <c r="L49" s="28">
        <f>F49 * G49 * 746.028406</f>
        <v>2238.0852180000002</v>
      </c>
      <c r="M49" s="28">
        <f>F49 * G49 * 328.857955</f>
        <v>986.57386500000007</v>
      </c>
      <c r="N49" s="29">
        <f>SUM(H49:M49)</f>
        <v>24539.756408999998</v>
      </c>
      <c r="O49" s="30">
        <f t="shared" ref="O49:O50" si="14">N49*1.07*1.09*1.05</f>
        <v>30051.753794807537</v>
      </c>
      <c r="P49" s="31">
        <f t="shared" ref="P49:P50" si="15">IF($P$9&gt;0,O49/$P$9/12,0)</f>
        <v>0.20532203133835872</v>
      </c>
    </row>
    <row r="50" spans="2:16" x14ac:dyDescent="0.25">
      <c r="B50" s="23">
        <v>23</v>
      </c>
      <c r="C50" s="24" t="s">
        <v>102</v>
      </c>
      <c r="D50" s="25" t="s">
        <v>103</v>
      </c>
      <c r="E50" s="25" t="s">
        <v>101</v>
      </c>
      <c r="F50" s="26">
        <v>3</v>
      </c>
      <c r="G50" s="27">
        <v>1</v>
      </c>
      <c r="H50" s="28">
        <f>F50 * G50 * 1537.137144</f>
        <v>4611.4114319999999</v>
      </c>
      <c r="I50" s="28">
        <f>F50 * G50 * 12060.92568</f>
        <v>36182.777040000001</v>
      </c>
      <c r="J50" s="28">
        <f>F50 * G50 * 0</f>
        <v>0</v>
      </c>
      <c r="K50" s="28">
        <f>F50 * G50 * 1463.354561</f>
        <v>4390.0636830000003</v>
      </c>
      <c r="L50" s="28">
        <f>F50 * G50 * 1581.44882599999</f>
        <v>4744.3464779999704</v>
      </c>
      <c r="M50" s="28">
        <f>F50 * G50 * 307.427429</f>
        <v>922.282287</v>
      </c>
      <c r="N50" s="29">
        <f>SUM(H50:M50)</f>
        <v>50850.880919999974</v>
      </c>
      <c r="O50" s="30">
        <f t="shared" si="14"/>
        <v>62272.751537845776</v>
      </c>
      <c r="P50" s="31">
        <f t="shared" si="15"/>
        <v>0.42546494724007117</v>
      </c>
    </row>
    <row r="51" spans="2:16" x14ac:dyDescent="0.25">
      <c r="B51" s="33"/>
      <c r="C51" s="34" t="s">
        <v>104</v>
      </c>
      <c r="D51" s="96" t="s">
        <v>105</v>
      </c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</row>
    <row r="52" spans="2:16" x14ac:dyDescent="0.25">
      <c r="B52" s="33"/>
      <c r="C52" s="34" t="s">
        <v>106</v>
      </c>
      <c r="D52" s="98" t="s">
        <v>107</v>
      </c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</row>
    <row r="53" spans="2:16" ht="30" x14ac:dyDescent="0.25">
      <c r="B53" s="23">
        <v>24</v>
      </c>
      <c r="C53" s="24" t="s">
        <v>108</v>
      </c>
      <c r="D53" s="25" t="s">
        <v>109</v>
      </c>
      <c r="E53" s="25" t="s">
        <v>110</v>
      </c>
      <c r="F53" s="26">
        <v>1</v>
      </c>
      <c r="G53" s="27">
        <v>1</v>
      </c>
      <c r="H53" s="28">
        <f>F53 * G53 * 3916.6096</f>
        <v>3916.6095999999998</v>
      </c>
      <c r="I53" s="28">
        <f>F53 * G53 * 0</f>
        <v>0</v>
      </c>
      <c r="J53" s="28">
        <f>F53 * G53 * 0</f>
        <v>0</v>
      </c>
      <c r="K53" s="28">
        <f>F53 * G53 * 3728.612339</f>
        <v>3728.6123389999998</v>
      </c>
      <c r="L53" s="28">
        <f>F53 * G53 * 802.748304</f>
        <v>802.74830399999996</v>
      </c>
      <c r="M53" s="28">
        <f>F53 * G53 * 783.32192</f>
        <v>783.32191999999998</v>
      </c>
      <c r="N53" s="29">
        <f>SUM(H53:M53)</f>
        <v>9231.2921630000001</v>
      </c>
      <c r="O53" s="30">
        <f t="shared" ref="O53" si="16">N53*1.07*1.09*1.05</f>
        <v>11304.778852192247</v>
      </c>
      <c r="P53" s="31">
        <f>IF($P$9&gt;0,O53/$P$9/12,0)</f>
        <v>7.7237427592797725E-2</v>
      </c>
    </row>
    <row r="54" spans="2:16" x14ac:dyDescent="0.25">
      <c r="B54" s="33"/>
      <c r="C54" s="34" t="s">
        <v>111</v>
      </c>
      <c r="D54" s="98" t="s">
        <v>112</v>
      </c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</row>
    <row r="55" spans="2:16" ht="30" x14ac:dyDescent="0.25">
      <c r="B55" s="23">
        <v>25</v>
      </c>
      <c r="C55" s="24" t="s">
        <v>113</v>
      </c>
      <c r="D55" s="25" t="s">
        <v>114</v>
      </c>
      <c r="E55" s="25" t="s">
        <v>115</v>
      </c>
      <c r="F55" s="26">
        <v>2</v>
      </c>
      <c r="G55" s="27">
        <v>1</v>
      </c>
      <c r="H55" s="28">
        <f>F55 * G55 * 59.074456</f>
        <v>118.148912</v>
      </c>
      <c r="I55" s="28">
        <f>F55 * G55 * 0</f>
        <v>0</v>
      </c>
      <c r="J55" s="28">
        <f>F55 * G55 * 0</f>
        <v>0</v>
      </c>
      <c r="K55" s="28">
        <f>F55 * G55 * 56.238882</f>
        <v>112.47776399999999</v>
      </c>
      <c r="L55" s="28">
        <f>F55 * G55 * 12.107901</f>
        <v>24.215802</v>
      </c>
      <c r="M55" s="28">
        <f>F55 * G55 * 11.814891</f>
        <v>23.629781999999999</v>
      </c>
      <c r="N55" s="29">
        <f>SUM(H55:M55)</f>
        <v>278.47225999999995</v>
      </c>
      <c r="O55" s="30">
        <f t="shared" ref="O55:O56" si="17">N55*1.07*1.09*1.05</f>
        <v>341.02130667989996</v>
      </c>
      <c r="P55" s="31">
        <f t="shared" ref="P55:P56" si="18">IF($P$9&gt;0,O55/$P$9/12,0)</f>
        <v>2.3299534494814296E-3</v>
      </c>
    </row>
    <row r="56" spans="2:16" x14ac:dyDescent="0.25">
      <c r="B56" s="23">
        <v>26</v>
      </c>
      <c r="C56" s="24" t="s">
        <v>116</v>
      </c>
      <c r="D56" s="25" t="s">
        <v>117</v>
      </c>
      <c r="E56" s="25" t="s">
        <v>118</v>
      </c>
      <c r="F56" s="26">
        <v>1</v>
      </c>
      <c r="G56" s="27">
        <v>1</v>
      </c>
      <c r="H56" s="28">
        <f>F56 * G56 * 26926.691</f>
        <v>26926.690999999999</v>
      </c>
      <c r="I56" s="28">
        <f>F56 * G56 * 0</f>
        <v>0</v>
      </c>
      <c r="J56" s="28">
        <f>F56 * G56 * 0</f>
        <v>0</v>
      </c>
      <c r="K56" s="28">
        <f>F56 * G56 * 25634.209832</f>
        <v>25634.209832</v>
      </c>
      <c r="L56" s="28">
        <f>F56 * G56 * 5518.894587</f>
        <v>5518.8945869999998</v>
      </c>
      <c r="M56" s="28">
        <f>F56 * G56 * 5385.3382</f>
        <v>5385.3382000000001</v>
      </c>
      <c r="N56" s="29">
        <f>SUM(H56:M56)</f>
        <v>63465.133619</v>
      </c>
      <c r="O56" s="30">
        <f t="shared" si="17"/>
        <v>77720.354606831694</v>
      </c>
      <c r="P56" s="31">
        <f t="shared" si="18"/>
        <v>0.53100731468688811</v>
      </c>
    </row>
    <row r="57" spans="2:16" x14ac:dyDescent="0.25">
      <c r="B57" s="33"/>
      <c r="C57" s="34" t="s">
        <v>119</v>
      </c>
      <c r="D57" s="98" t="s">
        <v>120</v>
      </c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</row>
    <row r="58" spans="2:16" ht="30" x14ac:dyDescent="0.25">
      <c r="B58" s="23">
        <v>27</v>
      </c>
      <c r="C58" s="24" t="s">
        <v>121</v>
      </c>
      <c r="D58" s="25" t="s">
        <v>122</v>
      </c>
      <c r="E58" s="25" t="s">
        <v>123</v>
      </c>
      <c r="F58" s="26">
        <v>1</v>
      </c>
      <c r="G58" s="27">
        <v>1</v>
      </c>
      <c r="H58" s="28">
        <f>F58 * G58 * 554.995056</f>
        <v>554.99505599999998</v>
      </c>
      <c r="I58" s="28">
        <f>F58 * G58 * 6009.17184</f>
        <v>6009.17184</v>
      </c>
      <c r="J58" s="28">
        <f>F58 * G58 * 0</f>
        <v>0</v>
      </c>
      <c r="K58" s="28">
        <f>F58 * G58 * 528.355293</f>
        <v>528.35529299999996</v>
      </c>
      <c r="L58" s="28">
        <f>F58 * G58 * 744.71483</f>
        <v>744.71483000000001</v>
      </c>
      <c r="M58" s="28">
        <f>F58 * G58 * 110.999011</f>
        <v>110.999011</v>
      </c>
      <c r="N58" s="29">
        <f>SUM(H58:M58)</f>
        <v>7948.2360299999991</v>
      </c>
      <c r="O58" s="30">
        <f t="shared" ref="O58" si="19">N58*1.07*1.09*1.05</f>
        <v>9733.5290658784506</v>
      </c>
      <c r="P58" s="31">
        <f>IF($P$9&gt;0,O58/$P$9/12,0)</f>
        <v>6.6502207276915429E-2</v>
      </c>
    </row>
    <row r="59" spans="2:16" x14ac:dyDescent="0.25">
      <c r="B59" s="33"/>
      <c r="C59" s="34" t="s">
        <v>124</v>
      </c>
      <c r="D59" s="98" t="s">
        <v>125</v>
      </c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</row>
    <row r="60" spans="2:16" ht="45" x14ac:dyDescent="0.25">
      <c r="B60" s="23">
        <v>28</v>
      </c>
      <c r="C60" s="24" t="s">
        <v>126</v>
      </c>
      <c r="D60" s="25" t="s">
        <v>127</v>
      </c>
      <c r="E60" s="25" t="s">
        <v>128</v>
      </c>
      <c r="F60" s="26">
        <v>1</v>
      </c>
      <c r="G60" s="27">
        <v>1</v>
      </c>
      <c r="H60" s="28">
        <f>F60 * G60 * 3475.99102</f>
        <v>3475.9910199999999</v>
      </c>
      <c r="I60" s="28">
        <f>F60 * G60 * 0</f>
        <v>0</v>
      </c>
      <c r="J60" s="28">
        <f>F60 * G60 * 0</f>
        <v>0</v>
      </c>
      <c r="K60" s="28">
        <f>F60 * G60 * 3309.143451</f>
        <v>3309.1434509999999</v>
      </c>
      <c r="L60" s="28">
        <f>F60 * G60 * 712.439119</f>
        <v>712.43911900000001</v>
      </c>
      <c r="M60" s="28">
        <f>F60 * G60 * 695.198204</f>
        <v>695.19820400000003</v>
      </c>
      <c r="N60" s="29">
        <f>SUM(H60:M60)</f>
        <v>8192.7717939999984</v>
      </c>
      <c r="O60" s="30">
        <f t="shared" ref="O60" si="20">N60*1.07*1.09*1.05</f>
        <v>10032.991230509311</v>
      </c>
      <c r="P60" s="31">
        <f>IF($P$9&gt;0,O60/$P$9/12,0)</f>
        <v>6.8548216983064902E-2</v>
      </c>
    </row>
    <row r="61" spans="2:16" x14ac:dyDescent="0.25">
      <c r="B61" s="33"/>
      <c r="C61" s="34" t="s">
        <v>129</v>
      </c>
      <c r="D61" s="98" t="s">
        <v>130</v>
      </c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</row>
    <row r="62" spans="2:16" ht="30" x14ac:dyDescent="0.25">
      <c r="B62" s="23">
        <v>29</v>
      </c>
      <c r="C62" s="24" t="s">
        <v>131</v>
      </c>
      <c r="D62" s="25" t="s">
        <v>132</v>
      </c>
      <c r="E62" s="25" t="s">
        <v>110</v>
      </c>
      <c r="F62" s="26">
        <v>1</v>
      </c>
      <c r="G62" s="27">
        <v>1</v>
      </c>
      <c r="H62" s="28">
        <f>F62 * G62 * 1954.905528</f>
        <v>1954.905528</v>
      </c>
      <c r="I62" s="28">
        <f>F62 * G62 * 72892.00296</f>
        <v>72892.002959999998</v>
      </c>
      <c r="J62" s="28">
        <f>F62 * G62 * 0</f>
        <v>0</v>
      </c>
      <c r="K62" s="28">
        <f>F62 * G62 * 1861.070062</f>
        <v>1861.070062</v>
      </c>
      <c r="L62" s="28">
        <f>F62 * G62 * 8054.337748</f>
        <v>8054.3377479999999</v>
      </c>
      <c r="M62" s="28">
        <f>F62 * G62 * 390.981106</f>
        <v>390.98110600000001</v>
      </c>
      <c r="N62" s="29">
        <f>SUM(H62:M62)</f>
        <v>85153.297404000012</v>
      </c>
      <c r="O62" s="30">
        <f t="shared" ref="O62:O63" si="21">N62*1.07*1.09*1.05</f>
        <v>104280.00530039948</v>
      </c>
      <c r="P62" s="31">
        <f t="shared" ref="P62:P63" si="22">IF($P$9&gt;0,O62/$P$9/12,0)</f>
        <v>0.7124703157907647</v>
      </c>
    </row>
    <row r="63" spans="2:16" ht="30" x14ac:dyDescent="0.25">
      <c r="B63" s="23">
        <v>30</v>
      </c>
      <c r="C63" s="24" t="s">
        <v>133</v>
      </c>
      <c r="D63" s="25" t="s">
        <v>134</v>
      </c>
      <c r="E63" s="25" t="s">
        <v>135</v>
      </c>
      <c r="F63" s="26">
        <v>2.3E-2</v>
      </c>
      <c r="G63" s="27">
        <v>1</v>
      </c>
      <c r="H63" s="28">
        <f>F63 * G63 * 18701.496</f>
        <v>430.13440799999995</v>
      </c>
      <c r="I63" s="28">
        <f>F63 * G63 * 303856.631426</f>
        <v>6988.7025227979993</v>
      </c>
      <c r="J63" s="28">
        <f>F63 * G63 * 0</f>
        <v>0</v>
      </c>
      <c r="K63" s="28">
        <f>F63 * G63 * 17803.824192</f>
        <v>409.48795641599997</v>
      </c>
      <c r="L63" s="28">
        <f>F63 * G63 * 35738.00492</f>
        <v>821.97411316</v>
      </c>
      <c r="M63" s="28">
        <f>F63 * G63 * 3740.2992</f>
        <v>86.026881599999996</v>
      </c>
      <c r="N63" s="29">
        <f>SUM(H63:M63)</f>
        <v>8736.3258819740004</v>
      </c>
      <c r="O63" s="30">
        <f t="shared" si="21"/>
        <v>10698.635719953592</v>
      </c>
      <c r="P63" s="31">
        <f t="shared" si="22"/>
        <v>7.3096087288907055E-2</v>
      </c>
    </row>
    <row r="64" spans="2:16" x14ac:dyDescent="0.25">
      <c r="B64" s="33"/>
      <c r="C64" s="34" t="s">
        <v>136</v>
      </c>
      <c r="D64" s="96" t="s">
        <v>137</v>
      </c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</row>
    <row r="65" spans="2:16" x14ac:dyDescent="0.25">
      <c r="B65" s="33"/>
      <c r="C65" s="34" t="s">
        <v>138</v>
      </c>
      <c r="D65" s="98" t="s">
        <v>139</v>
      </c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</row>
    <row r="66" spans="2:16" ht="45" x14ac:dyDescent="0.25">
      <c r="B66" s="23">
        <v>31</v>
      </c>
      <c r="C66" s="24" t="s">
        <v>140</v>
      </c>
      <c r="D66" s="25" t="s">
        <v>141</v>
      </c>
      <c r="E66" s="25" t="s">
        <v>142</v>
      </c>
      <c r="F66" s="26">
        <v>2.5000000000000001E-2</v>
      </c>
      <c r="G66" s="27">
        <v>1</v>
      </c>
      <c r="H66" s="28">
        <f>F66 * G66 * 9578.070341</f>
        <v>239.45175852500003</v>
      </c>
      <c r="I66" s="28">
        <f>F66 * G66 * 2024.023304</f>
        <v>50.600582600000003</v>
      </c>
      <c r="J66" s="28">
        <f>F66 * G66 * 0</f>
        <v>0</v>
      </c>
      <c r="K66" s="28">
        <f>F66 * G66 * 9118.322965</f>
        <v>227.958074125</v>
      </c>
      <c r="L66" s="28">
        <f>F66 * G66 * 2175.643744</f>
        <v>54.391093600000005</v>
      </c>
      <c r="M66" s="28">
        <f>F66 * G66 * 1915.614068</f>
        <v>47.890351700000004</v>
      </c>
      <c r="N66" s="29">
        <f>SUM(H66:M66)</f>
        <v>620.29186055000002</v>
      </c>
      <c r="O66" s="30">
        <f t="shared" ref="O66" si="23">N66*1.07*1.09*1.05</f>
        <v>759.61871680743843</v>
      </c>
      <c r="P66" s="31">
        <f>IF($P$9&gt;0,O66/$P$9/12,0)</f>
        <v>5.1899286491721899E-3</v>
      </c>
    </row>
    <row r="67" spans="2:16" x14ac:dyDescent="0.25">
      <c r="B67" s="33"/>
      <c r="C67" s="34" t="s">
        <v>143</v>
      </c>
      <c r="D67" s="96" t="s">
        <v>144</v>
      </c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</row>
    <row r="68" spans="2:16" ht="30" x14ac:dyDescent="0.25">
      <c r="B68" s="23">
        <v>32</v>
      </c>
      <c r="C68" s="24" t="s">
        <v>145</v>
      </c>
      <c r="D68" s="25" t="s">
        <v>146</v>
      </c>
      <c r="E68" s="25" t="s">
        <v>147</v>
      </c>
      <c r="F68" s="26">
        <v>0.02</v>
      </c>
      <c r="G68" s="27">
        <v>1</v>
      </c>
      <c r="H68" s="28">
        <f>F68 * G68 * 17089.3962</f>
        <v>341.78792399999998</v>
      </c>
      <c r="I68" s="28">
        <f>F68 * G68 * 16199.283406</f>
        <v>323.98566812000001</v>
      </c>
      <c r="J68" s="28">
        <f>F68 * G68 * 0</f>
        <v>0</v>
      </c>
      <c r="K68" s="28">
        <f>F68 * G68 * 16269.105182</f>
        <v>325.38210363999997</v>
      </c>
      <c r="L68" s="28">
        <f>F68 * G68 * 5203.567403</f>
        <v>104.07134806000001</v>
      </c>
      <c r="M68" s="28">
        <f>F68 * G68 * 3417.87924</f>
        <v>68.357584800000012</v>
      </c>
      <c r="N68" s="29">
        <f>SUM(H68:M68)</f>
        <v>1163.5846286200001</v>
      </c>
      <c r="O68" s="30">
        <f t="shared" ref="O68:O72" si="24">N68*1.07*1.09*1.05</f>
        <v>1424.9431899774818</v>
      </c>
      <c r="P68" s="31">
        <f t="shared" ref="P68:P72" si="25">IF($P$9&gt;0,O68/$P$9/12,0)</f>
        <v>9.7356125138523247E-3</v>
      </c>
    </row>
    <row r="69" spans="2:16" ht="30" x14ac:dyDescent="0.25">
      <c r="B69" s="23">
        <v>33</v>
      </c>
      <c r="C69" s="24" t="s">
        <v>148</v>
      </c>
      <c r="D69" s="25" t="s">
        <v>149</v>
      </c>
      <c r="E69" s="25" t="s">
        <v>147</v>
      </c>
      <c r="F69" s="26">
        <v>0.02</v>
      </c>
      <c r="G69" s="27">
        <v>1</v>
      </c>
      <c r="H69" s="28">
        <f>F69 * G69 * 21730.9606</f>
        <v>434.619212</v>
      </c>
      <c r="I69" s="28">
        <f>F69 * G69 * 35326.073515</f>
        <v>706.52147029999992</v>
      </c>
      <c r="J69" s="28">
        <f>F69 * G69 * 0</f>
        <v>0</v>
      </c>
      <c r="K69" s="28">
        <f>F69 * G69 * 20687.874491</f>
        <v>413.75748981999999</v>
      </c>
      <c r="L69" s="28">
        <f>F69 * G69 * 8163.215404</f>
        <v>163.26430808000001</v>
      </c>
      <c r="M69" s="28">
        <f>F69 * G69 * 4346.19212</f>
        <v>86.923842399999998</v>
      </c>
      <c r="N69" s="29">
        <f>SUM(H69:M69)</f>
        <v>1805.0863226000001</v>
      </c>
      <c r="O69" s="30">
        <f t="shared" si="24"/>
        <v>2210.5357869507993</v>
      </c>
      <c r="P69" s="31">
        <f t="shared" si="25"/>
        <v>1.5103002015186788E-2</v>
      </c>
    </row>
    <row r="70" spans="2:16" ht="30" x14ac:dyDescent="0.25">
      <c r="B70" s="23">
        <v>34</v>
      </c>
      <c r="C70" s="24" t="s">
        <v>150</v>
      </c>
      <c r="D70" s="25" t="s">
        <v>151</v>
      </c>
      <c r="E70" s="25" t="s">
        <v>147</v>
      </c>
      <c r="F70" s="26">
        <v>0.02</v>
      </c>
      <c r="G70" s="27">
        <v>1</v>
      </c>
      <c r="H70" s="28">
        <f>F70 * G70 * 28060.3666</f>
        <v>561.20733200000006</v>
      </c>
      <c r="I70" s="28">
        <f>F70 * G70 * 94232.37992</f>
        <v>1884.6475984000001</v>
      </c>
      <c r="J70" s="28">
        <f>F70 * G70 * 0</f>
        <v>0</v>
      </c>
      <c r="K70" s="28">
        <f>F70 * G70 * 26713.469003</f>
        <v>534.26938006</v>
      </c>
      <c r="L70" s="28">
        <f>F70 * G70 * 15645.65263</f>
        <v>312.91305260000001</v>
      </c>
      <c r="M70" s="28">
        <f>F70 * G70 * 5612.07332</f>
        <v>112.24146640000001</v>
      </c>
      <c r="N70" s="29">
        <f>SUM(H70:M70)</f>
        <v>3405.27882946</v>
      </c>
      <c r="O70" s="30">
        <f t="shared" si="24"/>
        <v>4170.1555337391592</v>
      </c>
      <c r="P70" s="31">
        <f t="shared" si="25"/>
        <v>2.8491675095919485E-2</v>
      </c>
    </row>
    <row r="71" spans="2:16" x14ac:dyDescent="0.25">
      <c r="B71" s="23">
        <v>35</v>
      </c>
      <c r="C71" s="24" t="s">
        <v>152</v>
      </c>
      <c r="D71" s="25" t="s">
        <v>153</v>
      </c>
      <c r="E71" s="25" t="s">
        <v>147</v>
      </c>
      <c r="F71" s="26">
        <v>0.01</v>
      </c>
      <c r="G71" s="27">
        <v>1</v>
      </c>
      <c r="H71" s="28">
        <f>F71 * G71 * 64981.9016</f>
        <v>649.81901600000003</v>
      </c>
      <c r="I71" s="28">
        <f>F71 * G71 * 202814.484713</f>
        <v>2028.1448471300002</v>
      </c>
      <c r="J71" s="28">
        <f>F71 * G71 * 0</f>
        <v>0</v>
      </c>
      <c r="K71" s="28">
        <f>F71 * G71 * 61862.770323</f>
        <v>618.62770322999995</v>
      </c>
      <c r="L71" s="28">
        <f>F71 * G71 * 34614.211447</f>
        <v>346.14211447000002</v>
      </c>
      <c r="M71" s="28">
        <f>F71 * G71 * 12996.38032</f>
        <v>129.9638032</v>
      </c>
      <c r="N71" s="29">
        <f>SUM(H71:M71)</f>
        <v>3772.6974840300004</v>
      </c>
      <c r="O71" s="30">
        <f t="shared" si="24"/>
        <v>4620.1019294054004</v>
      </c>
      <c r="P71" s="31">
        <f t="shared" si="25"/>
        <v>3.1565835378955208E-2</v>
      </c>
    </row>
    <row r="72" spans="2:16" x14ac:dyDescent="0.25">
      <c r="B72" s="23">
        <v>36</v>
      </c>
      <c r="C72" s="24" t="s">
        <v>154</v>
      </c>
      <c r="D72" s="25" t="s">
        <v>155</v>
      </c>
      <c r="E72" s="25" t="s">
        <v>147</v>
      </c>
      <c r="F72" s="26">
        <v>0.01</v>
      </c>
      <c r="G72" s="27">
        <v>1</v>
      </c>
      <c r="H72" s="28">
        <f>F72 * G72 * 89033.6444</f>
        <v>890.33644400000003</v>
      </c>
      <c r="I72" s="28">
        <f>F72 * G72 * 467196.998321</f>
        <v>4671.9699832100005</v>
      </c>
      <c r="J72" s="28">
        <f>F72 * G72 * 0</f>
        <v>0</v>
      </c>
      <c r="K72" s="28">
        <f>F72 * G72 * 84760.029469</f>
        <v>847.60029469000006</v>
      </c>
      <c r="L72" s="28">
        <f>F72 * G72 * 67304.02058</f>
        <v>673.04020579999997</v>
      </c>
      <c r="M72" s="28">
        <f>F72 * G72 * 17806.72888</f>
        <v>178.0672888</v>
      </c>
      <c r="N72" s="29">
        <f>SUM(H72:M72)</f>
        <v>7261.0142164999997</v>
      </c>
      <c r="O72" s="30">
        <f t="shared" si="24"/>
        <v>8891.946924739148</v>
      </c>
      <c r="P72" s="31">
        <f t="shared" si="25"/>
        <v>6.0752281467704818E-2</v>
      </c>
    </row>
    <row r="73" spans="2:16" ht="12.75" customHeight="1" x14ac:dyDescent="0.25">
      <c r="B73" s="21"/>
      <c r="C73" s="22" t="s">
        <v>156</v>
      </c>
      <c r="D73" s="95" t="s">
        <v>157</v>
      </c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</row>
    <row r="74" spans="2:16" x14ac:dyDescent="0.25">
      <c r="B74" s="33"/>
      <c r="C74" s="34" t="s">
        <v>158</v>
      </c>
      <c r="D74" s="96" t="s">
        <v>159</v>
      </c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</row>
    <row r="75" spans="2:16" ht="45" x14ac:dyDescent="0.25">
      <c r="B75" s="23">
        <v>37</v>
      </c>
      <c r="C75" s="24" t="s">
        <v>160</v>
      </c>
      <c r="D75" s="25" t="s">
        <v>161</v>
      </c>
      <c r="E75" s="25" t="s">
        <v>39</v>
      </c>
      <c r="F75" s="26">
        <v>0.04</v>
      </c>
      <c r="G75" s="27">
        <v>1</v>
      </c>
      <c r="H75" s="28">
        <f>F75 * G75 * 13298.15888</f>
        <v>531.92635519999999</v>
      </c>
      <c r="I75" s="28">
        <f>F75 * G75 * 17587.934371</f>
        <v>703.51737484</v>
      </c>
      <c r="J75" s="28">
        <f>F75 * G75 * 0</f>
        <v>0</v>
      </c>
      <c r="K75" s="28">
        <f>F75 * G75 * 12659.847254</f>
        <v>506.39389016000001</v>
      </c>
      <c r="L75" s="28">
        <f>F75 * G75 * 4572.323753</f>
        <v>182.89295011999999</v>
      </c>
      <c r="M75" s="28">
        <f>F75 * G75 * 2659.631776</f>
        <v>106.38527104000001</v>
      </c>
      <c r="N75" s="29">
        <f>SUM(H75:M75)</f>
        <v>2031.1158413599999</v>
      </c>
      <c r="O75" s="30">
        <f t="shared" ref="O75:O78" si="26">N75*1.07*1.09*1.05</f>
        <v>2487.3349260670761</v>
      </c>
      <c r="P75" s="31">
        <f t="shared" ref="P75:P78" si="27">IF($P$9&gt;0,O75/$P$9/12,0)</f>
        <v>1.6994171559038262E-2</v>
      </c>
    </row>
    <row r="76" spans="2:16" ht="45" x14ac:dyDescent="0.25">
      <c r="B76" s="23">
        <v>38</v>
      </c>
      <c r="C76" s="24" t="s">
        <v>162</v>
      </c>
      <c r="D76" s="25" t="s">
        <v>163</v>
      </c>
      <c r="E76" s="25" t="s">
        <v>39</v>
      </c>
      <c r="F76" s="26">
        <v>0.02</v>
      </c>
      <c r="G76" s="27">
        <v>1</v>
      </c>
      <c r="H76" s="28">
        <f>F76 * G76 * 14095.13758</f>
        <v>281.90275160000004</v>
      </c>
      <c r="I76" s="28">
        <f>F76 * G76 * 29654.757371</f>
        <v>593.09514741999999</v>
      </c>
      <c r="J76" s="28">
        <f>F76 * G76 * 0</f>
        <v>0</v>
      </c>
      <c r="K76" s="28">
        <f>F76 * G76 * 13418.570976</f>
        <v>268.37141952000002</v>
      </c>
      <c r="L76" s="28">
        <f>F76 * G76 * 6002.688923</f>
        <v>120.05377845999999</v>
      </c>
      <c r="M76" s="28">
        <f>F76 * G76 * 2819.027516</f>
        <v>56.380550320000005</v>
      </c>
      <c r="N76" s="29">
        <f>SUM(H76:M76)</f>
        <v>1319.80364732</v>
      </c>
      <c r="O76" s="30">
        <f t="shared" si="26"/>
        <v>1616.2513435627823</v>
      </c>
      <c r="P76" s="31">
        <f t="shared" si="27"/>
        <v>1.1042683607736754E-2</v>
      </c>
    </row>
    <row r="77" spans="2:16" ht="45" x14ac:dyDescent="0.25">
      <c r="B77" s="23">
        <v>39</v>
      </c>
      <c r="C77" s="24" t="s">
        <v>164</v>
      </c>
      <c r="D77" s="25" t="s">
        <v>165</v>
      </c>
      <c r="E77" s="25" t="s">
        <v>39</v>
      </c>
      <c r="F77" s="26">
        <v>0.05</v>
      </c>
      <c r="G77" s="27">
        <v>1</v>
      </c>
      <c r="H77" s="28">
        <f>F77 * G77 * 13298.15888</f>
        <v>664.90794400000004</v>
      </c>
      <c r="I77" s="28">
        <f>F77 * G77 * 17587.934371</f>
        <v>879.39671855000006</v>
      </c>
      <c r="J77" s="28">
        <f>F77 * G77 * 0</f>
        <v>0</v>
      </c>
      <c r="K77" s="28">
        <f>F77 * G77 * 12659.847254</f>
        <v>632.99236270000006</v>
      </c>
      <c r="L77" s="28">
        <f>F77 * G77 * 4572.323753</f>
        <v>228.61618765</v>
      </c>
      <c r="M77" s="28">
        <f>F77 * G77 * 2659.631776</f>
        <v>132.98158880000003</v>
      </c>
      <c r="N77" s="29">
        <f>SUM(H77:M77)</f>
        <v>2538.8948016999998</v>
      </c>
      <c r="O77" s="30">
        <f t="shared" si="26"/>
        <v>3109.1686575838457</v>
      </c>
      <c r="P77" s="31">
        <f t="shared" si="27"/>
        <v>2.1242714448797832E-2</v>
      </c>
    </row>
    <row r="78" spans="2:16" ht="45" x14ac:dyDescent="0.25">
      <c r="B78" s="23">
        <v>40</v>
      </c>
      <c r="C78" s="24" t="s">
        <v>166</v>
      </c>
      <c r="D78" s="25" t="s">
        <v>167</v>
      </c>
      <c r="E78" s="25" t="s">
        <v>39</v>
      </c>
      <c r="F78" s="26">
        <v>7.0000000000000007E-2</v>
      </c>
      <c r="G78" s="27">
        <v>1</v>
      </c>
      <c r="H78" s="28">
        <f>F78 * G78 * 14095.13758</f>
        <v>986.65963060000013</v>
      </c>
      <c r="I78" s="28">
        <f>F78 * G78 * 29654.757371</f>
        <v>2075.8330159700004</v>
      </c>
      <c r="J78" s="28">
        <f>F78 * G78 * 0</f>
        <v>0</v>
      </c>
      <c r="K78" s="28">
        <f>F78 * G78 * 13418.570976</f>
        <v>939.29996832000018</v>
      </c>
      <c r="L78" s="28">
        <f>F78 * G78 * 6002.688923</f>
        <v>420.18822461000002</v>
      </c>
      <c r="M78" s="28">
        <f>F78 * G78 * 2819.027516</f>
        <v>197.33192612000002</v>
      </c>
      <c r="N78" s="29">
        <f>SUM(H78:M78)</f>
        <v>4619.3127656200013</v>
      </c>
      <c r="O78" s="30">
        <f t="shared" si="26"/>
        <v>5656.8797024697396</v>
      </c>
      <c r="P78" s="31">
        <f t="shared" si="27"/>
        <v>3.8649392627078651E-2</v>
      </c>
    </row>
    <row r="79" spans="2:16" x14ac:dyDescent="0.25">
      <c r="B79" s="33"/>
      <c r="C79" s="34" t="s">
        <v>168</v>
      </c>
      <c r="D79" s="96" t="s">
        <v>169</v>
      </c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</row>
    <row r="80" spans="2:16" ht="45" x14ac:dyDescent="0.25">
      <c r="B80" s="23">
        <v>41</v>
      </c>
      <c r="C80" s="24" t="s">
        <v>170</v>
      </c>
      <c r="D80" s="25" t="s">
        <v>171</v>
      </c>
      <c r="E80" s="25" t="s">
        <v>39</v>
      </c>
      <c r="F80" s="26">
        <v>0.03</v>
      </c>
      <c r="G80" s="27">
        <v>1</v>
      </c>
      <c r="H80" s="28">
        <f>F80 * G80 * 50277.97056</f>
        <v>1508.3391168000001</v>
      </c>
      <c r="I80" s="28">
        <f>F80 * G80 * 129677.024655</f>
        <v>3890.31073965</v>
      </c>
      <c r="J80" s="28">
        <f>F80 * G80 * 0</f>
        <v>0</v>
      </c>
      <c r="K80" s="28">
        <f>F80 * G80 * 47864.627973</f>
        <v>1435.93883919</v>
      </c>
      <c r="L80" s="28">
        <f>F80 * G80 * 23921.060435</f>
        <v>717.63181305000001</v>
      </c>
      <c r="M80" s="28">
        <f>F80 * G80 * 10055.594112</f>
        <v>301.66782336</v>
      </c>
      <c r="N80" s="29">
        <f>SUM(H80:M80)</f>
        <v>7853.8883320499999</v>
      </c>
      <c r="O80" s="30">
        <f t="shared" ref="O80:O81" si="28">N80*1.07*1.09*1.05</f>
        <v>9617.989459753413</v>
      </c>
      <c r="P80" s="31">
        <f t="shared" ref="P80:P81" si="29">IF($P$9&gt;0,O80/$P$9/12,0)</f>
        <v>6.5712808202518472E-2</v>
      </c>
    </row>
    <row r="81" spans="2:16" ht="45" x14ac:dyDescent="0.25">
      <c r="B81" s="23">
        <v>42</v>
      </c>
      <c r="C81" s="24" t="s">
        <v>172</v>
      </c>
      <c r="D81" s="25" t="s">
        <v>173</v>
      </c>
      <c r="E81" s="25" t="s">
        <v>39</v>
      </c>
      <c r="F81" s="26">
        <v>0.03</v>
      </c>
      <c r="G81" s="27">
        <v>1</v>
      </c>
      <c r="H81" s="28">
        <f>F81 * G81 * 53169.8647</f>
        <v>1595.0959409999998</v>
      </c>
      <c r="I81" s="28">
        <f>F81 * G81 * 191692.828701</f>
        <v>5750.7848610299998</v>
      </c>
      <c r="J81" s="28">
        <f>F81 * G81 * 0</f>
        <v>0</v>
      </c>
      <c r="K81" s="28">
        <f>F81 * G81 * 50617.711194</f>
        <v>1518.5313358200001</v>
      </c>
      <c r="L81" s="28">
        <f>F81 * G81 * 31025.442483</f>
        <v>930.76327448999996</v>
      </c>
      <c r="M81" s="28">
        <f>F81 * G81 * 10633.97294</f>
        <v>319.01918819999997</v>
      </c>
      <c r="N81" s="29">
        <f>SUM(H81:M81)</f>
        <v>10114.194600539999</v>
      </c>
      <c r="O81" s="30">
        <f t="shared" si="28"/>
        <v>12385.994420740291</v>
      </c>
      <c r="P81" s="31">
        <f t="shared" si="29"/>
        <v>8.4624596353886819E-2</v>
      </c>
    </row>
    <row r="82" spans="2:16" x14ac:dyDescent="0.25">
      <c r="B82" s="33"/>
      <c r="C82" s="34" t="s">
        <v>174</v>
      </c>
      <c r="D82" s="96" t="s">
        <v>175</v>
      </c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</row>
    <row r="83" spans="2:16" x14ac:dyDescent="0.25">
      <c r="B83" s="33"/>
      <c r="C83" s="34" t="s">
        <v>176</v>
      </c>
      <c r="D83" s="98" t="s">
        <v>177</v>
      </c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</row>
    <row r="84" spans="2:16" ht="30" x14ac:dyDescent="0.25">
      <c r="B84" s="23">
        <v>43</v>
      </c>
      <c r="C84" s="24" t="s">
        <v>178</v>
      </c>
      <c r="D84" s="25" t="s">
        <v>179</v>
      </c>
      <c r="E84" s="25" t="s">
        <v>180</v>
      </c>
      <c r="F84" s="26">
        <v>0.06</v>
      </c>
      <c r="G84" s="27">
        <v>1</v>
      </c>
      <c r="H84" s="28">
        <f>F84 * G84 * 9127.8168</f>
        <v>547.66900799999996</v>
      </c>
      <c r="I84" s="28">
        <f>F84 * G84 * 1495.294803</f>
        <v>89.717688179999996</v>
      </c>
      <c r="J84" s="28">
        <f>F84 * G84 * 0</f>
        <v>0</v>
      </c>
      <c r="K84" s="28">
        <f>F84 * G84 * 8689.681594</f>
        <v>521.38089563999995</v>
      </c>
      <c r="L84" s="28">
        <f>F84 * G84 * 2027.843286</f>
        <v>121.67059716</v>
      </c>
      <c r="M84" s="28">
        <f>F84 * G84 * 1825.56336</f>
        <v>109.5338016</v>
      </c>
      <c r="N84" s="29">
        <f>SUM(H84:M84)</f>
        <v>1389.9719905799998</v>
      </c>
      <c r="O84" s="30">
        <f t="shared" ref="O84:O87" si="30">N84*1.07*1.09*1.05</f>
        <v>1702.1805492441267</v>
      </c>
      <c r="P84" s="31">
        <f t="shared" ref="P84:P87" si="31">IF($P$9&gt;0,O84/$P$9/12,0)</f>
        <v>1.1629776100981981E-2</v>
      </c>
    </row>
    <row r="85" spans="2:16" ht="30" x14ac:dyDescent="0.25">
      <c r="B85" s="23">
        <v>44</v>
      </c>
      <c r="C85" s="24" t="s">
        <v>181</v>
      </c>
      <c r="D85" s="25" t="s">
        <v>182</v>
      </c>
      <c r="E85" s="25" t="s">
        <v>183</v>
      </c>
      <c r="F85" s="26">
        <v>0.12</v>
      </c>
      <c r="G85" s="27">
        <v>1</v>
      </c>
      <c r="H85" s="28">
        <f>F85 * G85 * 2004.15108</f>
        <v>240.4981296</v>
      </c>
      <c r="I85" s="28">
        <f>F85 * G85 * 693.653222</f>
        <v>83.238386640000002</v>
      </c>
      <c r="J85" s="28">
        <f>F85 * G85 * 0</f>
        <v>0</v>
      </c>
      <c r="K85" s="28">
        <f>F85 * G85 * 1907.951828</f>
        <v>228.95421936</v>
      </c>
      <c r="L85" s="28">
        <f>F85 * G85 * 483.604393999999</f>
        <v>58.032527279999876</v>
      </c>
      <c r="M85" s="28">
        <f>F85 * G85 * 400.830216</f>
        <v>48.099625920000001</v>
      </c>
      <c r="N85" s="29">
        <f>SUM(H85:M85)</f>
        <v>658.82288879999987</v>
      </c>
      <c r="O85" s="30">
        <f t="shared" si="30"/>
        <v>806.80439196781197</v>
      </c>
      <c r="P85" s="31">
        <f t="shared" si="31"/>
        <v>5.5123144486882844E-3</v>
      </c>
    </row>
    <row r="86" spans="2:16" ht="30" x14ac:dyDescent="0.25">
      <c r="B86" s="23">
        <v>45</v>
      </c>
      <c r="C86" s="24" t="s">
        <v>184</v>
      </c>
      <c r="D86" s="25" t="s">
        <v>185</v>
      </c>
      <c r="E86" s="25" t="s">
        <v>186</v>
      </c>
      <c r="F86" s="26">
        <v>0.03</v>
      </c>
      <c r="G86" s="27">
        <v>1</v>
      </c>
      <c r="H86" s="28">
        <f>F86 * G86 * 6151.3548</f>
        <v>184.54064399999999</v>
      </c>
      <c r="I86" s="28">
        <f>F86 * G86 * 109725.343848</f>
        <v>3291.7603154399999</v>
      </c>
      <c r="J86" s="28">
        <f>F86 * G86 * 0</f>
        <v>0</v>
      </c>
      <c r="K86" s="28">
        <f>F86 * G86 * 5856.08977</f>
        <v>175.68269309999999</v>
      </c>
      <c r="L86" s="28">
        <f>F86 * G86 * 12781.9427839999</f>
        <v>383.458283519997</v>
      </c>
      <c r="M86" s="28">
        <f>F86 * G86 * 1230.27096</f>
        <v>36.9081288</v>
      </c>
      <c r="N86" s="29">
        <f>SUM(H86:M86)</f>
        <v>4072.3500648599975</v>
      </c>
      <c r="O86" s="30">
        <f t="shared" si="30"/>
        <v>4987.0609746785267</v>
      </c>
      <c r="P86" s="31">
        <f t="shared" si="31"/>
        <v>3.4073002751212909E-2</v>
      </c>
    </row>
    <row r="87" spans="2:16" ht="30" x14ac:dyDescent="0.25">
      <c r="B87" s="23">
        <v>46</v>
      </c>
      <c r="C87" s="24" t="s">
        <v>187</v>
      </c>
      <c r="D87" s="25" t="s">
        <v>188</v>
      </c>
      <c r="E87" s="25" t="s">
        <v>189</v>
      </c>
      <c r="F87" s="26">
        <v>0.02</v>
      </c>
      <c r="G87" s="27">
        <v>1</v>
      </c>
      <c r="H87" s="28">
        <f>F87 * G87 * 10516.8324</f>
        <v>210.336648</v>
      </c>
      <c r="I87" s="28">
        <f>F87 * G87 * 3183.698652</f>
        <v>63.67397304</v>
      </c>
      <c r="J87" s="28">
        <f>F87 * G87 * 0</f>
        <v>0</v>
      </c>
      <c r="K87" s="28">
        <f>F87 * G87 * 10012.024445</f>
        <v>200.24048889999997</v>
      </c>
      <c r="L87" s="28">
        <f>F87 * G87 * 2489.818327</f>
        <v>49.796366540000001</v>
      </c>
      <c r="M87" s="28">
        <f>F87 * G87 * 2103.36648</f>
        <v>42.067329600000001</v>
      </c>
      <c r="N87" s="29">
        <f>SUM(H87:M87)</f>
        <v>566.11480607999999</v>
      </c>
      <c r="O87" s="30">
        <f t="shared" si="30"/>
        <v>693.2726832476593</v>
      </c>
      <c r="P87" s="31">
        <f t="shared" si="31"/>
        <v>4.7366338939060105E-3</v>
      </c>
    </row>
    <row r="88" spans="2:16" x14ac:dyDescent="0.25">
      <c r="B88" s="33"/>
      <c r="C88" s="34" t="s">
        <v>190</v>
      </c>
      <c r="D88" s="96" t="s">
        <v>191</v>
      </c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</row>
    <row r="89" spans="2:16" ht="45" x14ac:dyDescent="0.25">
      <c r="B89" s="23">
        <v>47</v>
      </c>
      <c r="C89" s="24" t="s">
        <v>192</v>
      </c>
      <c r="D89" s="25" t="s">
        <v>193</v>
      </c>
      <c r="E89" s="25" t="s">
        <v>194</v>
      </c>
      <c r="F89" s="26">
        <v>2.46</v>
      </c>
      <c r="G89" s="27">
        <v>1</v>
      </c>
      <c r="H89" s="28">
        <f>F89 * G89 * 65.482164</f>
        <v>161.08612343999999</v>
      </c>
      <c r="I89" s="28">
        <f>F89 * G89 * 0</f>
        <v>0</v>
      </c>
      <c r="J89" s="28">
        <f>F89 * G89 * 0</f>
        <v>0</v>
      </c>
      <c r="K89" s="28">
        <f>F89 * G89 * 62.339021</f>
        <v>153.35399165999999</v>
      </c>
      <c r="L89" s="28">
        <f>F89 * G89 * 13.421224</f>
        <v>33.016211040000002</v>
      </c>
      <c r="M89" s="28">
        <f>F89 * G89 * 13.096433</f>
        <v>32.21722518</v>
      </c>
      <c r="N89" s="29">
        <f>SUM(H89:M89)</f>
        <v>379.67355132</v>
      </c>
      <c r="O89" s="30">
        <f t="shared" ref="O89:O90" si="32">N89*1.07*1.09*1.05</f>
        <v>464.95392604974188</v>
      </c>
      <c r="P89" s="31">
        <f t="shared" ref="P89:P90" si="33">IF($P$9&gt;0,O89/$P$9/12,0)</f>
        <v>3.1766959501635778E-3</v>
      </c>
    </row>
    <row r="90" spans="2:16" ht="45" x14ac:dyDescent="0.25">
      <c r="B90" s="23">
        <v>48</v>
      </c>
      <c r="C90" s="24" t="s">
        <v>195</v>
      </c>
      <c r="D90" s="25" t="s">
        <v>196</v>
      </c>
      <c r="E90" s="25" t="s">
        <v>194</v>
      </c>
      <c r="F90" s="26">
        <v>2.65</v>
      </c>
      <c r="G90" s="27">
        <v>1</v>
      </c>
      <c r="H90" s="28">
        <f>F90 * G90 * 103.184016</f>
        <v>273.43764240000002</v>
      </c>
      <c r="I90" s="28">
        <f>F90 * G90 * 0</f>
        <v>0</v>
      </c>
      <c r="J90" s="28">
        <f>F90 * G90 * 0</f>
        <v>0</v>
      </c>
      <c r="K90" s="28">
        <f>F90 * G90 * 98.231183</f>
        <v>260.31263495000002</v>
      </c>
      <c r="L90" s="28">
        <f>F90 * G90 * 21.148596</f>
        <v>56.043779399999998</v>
      </c>
      <c r="M90" s="28">
        <f>F90 * G90 * 20.636803</f>
        <v>54.687527949999996</v>
      </c>
      <c r="N90" s="29">
        <f>SUM(H90:M90)</f>
        <v>644.48158469999998</v>
      </c>
      <c r="O90" s="30">
        <f t="shared" si="32"/>
        <v>789.24181584739051</v>
      </c>
      <c r="P90" s="31">
        <f t="shared" si="33"/>
        <v>5.3923219907039332E-3</v>
      </c>
    </row>
    <row r="91" spans="2:16" x14ac:dyDescent="0.25">
      <c r="B91" s="33"/>
      <c r="C91" s="34" t="s">
        <v>197</v>
      </c>
      <c r="D91" s="96" t="s">
        <v>198</v>
      </c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</row>
    <row r="92" spans="2:16" ht="45" x14ac:dyDescent="0.25">
      <c r="B92" s="23">
        <v>49</v>
      </c>
      <c r="C92" s="24" t="s">
        <v>199</v>
      </c>
      <c r="D92" s="25" t="s">
        <v>200</v>
      </c>
      <c r="E92" s="25" t="s">
        <v>142</v>
      </c>
      <c r="F92" s="26">
        <v>0.55000000000000004</v>
      </c>
      <c r="G92" s="27">
        <v>1</v>
      </c>
      <c r="H92" s="28">
        <f>F92 * G92 * 15072.090384</f>
        <v>8289.6497111999997</v>
      </c>
      <c r="I92" s="28">
        <f>F92 * G92 * 3386.030142</f>
        <v>1862.3165781000002</v>
      </c>
      <c r="J92" s="28">
        <f>F92 * G92 * 0</f>
        <v>0</v>
      </c>
      <c r="K92" s="28">
        <f>F92 * G92 * 14348.6300459999</f>
        <v>7891.7465252999455</v>
      </c>
      <c r="L92" s="28">
        <f>F92 * G92 * 3444.70881</f>
        <v>1894.5898455000001</v>
      </c>
      <c r="M92" s="28">
        <f>F92 * G92 * 3014.418077</f>
        <v>1657.9299423499999</v>
      </c>
      <c r="N92" s="29">
        <f>SUM(H92:M92)</f>
        <v>21596.232602449945</v>
      </c>
      <c r="O92" s="30">
        <f t="shared" ref="O92" si="34">N92*1.07*1.09*1.05</f>
        <v>26447.070388449243</v>
      </c>
      <c r="P92" s="31">
        <f>IF($P$9&gt;0,O92/$P$9/12,0)</f>
        <v>0.18069382080599905</v>
      </c>
    </row>
    <row r="93" spans="2:16" x14ac:dyDescent="0.25">
      <c r="B93" s="33"/>
      <c r="C93" s="34" t="s">
        <v>201</v>
      </c>
      <c r="D93" s="96" t="s">
        <v>202</v>
      </c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</row>
    <row r="94" spans="2:16" ht="45" x14ac:dyDescent="0.25">
      <c r="B94" s="23">
        <v>50</v>
      </c>
      <c r="C94" s="24" t="s">
        <v>203</v>
      </c>
      <c r="D94" s="25" t="s">
        <v>204</v>
      </c>
      <c r="E94" s="25" t="s">
        <v>205</v>
      </c>
      <c r="F94" s="26">
        <v>0.03</v>
      </c>
      <c r="G94" s="27">
        <v>1</v>
      </c>
      <c r="H94" s="28">
        <f>F94 * G94 * 13492.03776</f>
        <v>404.76113279999998</v>
      </c>
      <c r="I94" s="28">
        <f>F94 * G94 * 0</f>
        <v>0</v>
      </c>
      <c r="J94" s="28">
        <f>F94 * G94 * 0</f>
        <v>0</v>
      </c>
      <c r="K94" s="28">
        <f>F94 * G94 * 12844.4199479999</f>
        <v>385.33259843999701</v>
      </c>
      <c r="L94" s="28">
        <f>F94 * G94 * 2765.32806</f>
        <v>82.959841799999992</v>
      </c>
      <c r="M94" s="28">
        <f>F94 * G94 * 2698.407552</f>
        <v>80.95222656</v>
      </c>
      <c r="N94" s="29">
        <f>SUM(H94:M94)</f>
        <v>954.00579959999698</v>
      </c>
      <c r="O94" s="30">
        <f t="shared" ref="O94:O95" si="35">N94*1.07*1.09*1.05</f>
        <v>1168.2898122771503</v>
      </c>
      <c r="P94" s="31">
        <f t="shared" ref="P94:P95" si="36">IF($P$9&gt;0,O94/$P$9/12,0)</f>
        <v>7.9820844762178555E-3</v>
      </c>
    </row>
    <row r="95" spans="2:16" ht="45" x14ac:dyDescent="0.25">
      <c r="B95" s="23">
        <v>51</v>
      </c>
      <c r="C95" s="24" t="s">
        <v>206</v>
      </c>
      <c r="D95" s="25" t="s">
        <v>207</v>
      </c>
      <c r="E95" s="25" t="s">
        <v>205</v>
      </c>
      <c r="F95" s="26">
        <v>0.02</v>
      </c>
      <c r="G95" s="27">
        <v>1</v>
      </c>
      <c r="H95" s="28">
        <f>F95 * G95 * 16727.77356</f>
        <v>334.55547120000006</v>
      </c>
      <c r="I95" s="28">
        <f>F95 * G95 * 0</f>
        <v>0</v>
      </c>
      <c r="J95" s="28">
        <f>F95 * G95 * 0</f>
        <v>0</v>
      </c>
      <c r="K95" s="28">
        <f>F95 * G95 * 15924.840429</f>
        <v>318.49680857999999</v>
      </c>
      <c r="L95" s="28">
        <f>F95 * G95 * 3428.524469</f>
        <v>68.570489379999998</v>
      </c>
      <c r="M95" s="28">
        <f>F95 * G95 * 3345.554712</f>
        <v>66.911094239999997</v>
      </c>
      <c r="N95" s="29">
        <f>SUM(H95:M95)</f>
        <v>788.53386340000009</v>
      </c>
      <c r="O95" s="30">
        <f t="shared" si="35"/>
        <v>965.6503971275913</v>
      </c>
      <c r="P95" s="31">
        <f t="shared" si="36"/>
        <v>6.5975950174058601E-3</v>
      </c>
    </row>
    <row r="96" spans="2:16" ht="12.75" customHeight="1" x14ac:dyDescent="0.25">
      <c r="B96" s="21"/>
      <c r="C96" s="22" t="s">
        <v>19</v>
      </c>
      <c r="D96" s="95" t="s">
        <v>20</v>
      </c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</row>
    <row r="97" spans="2:16" x14ac:dyDescent="0.25">
      <c r="B97" s="33"/>
      <c r="C97" s="34" t="s">
        <v>208</v>
      </c>
      <c r="D97" s="96" t="s">
        <v>209</v>
      </c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</row>
    <row r="98" spans="2:16" ht="30" x14ac:dyDescent="0.25">
      <c r="B98" s="23">
        <v>52</v>
      </c>
      <c r="C98" s="24" t="s">
        <v>210</v>
      </c>
      <c r="D98" s="25" t="s">
        <v>211</v>
      </c>
      <c r="E98" s="25" t="s">
        <v>212</v>
      </c>
      <c r="F98" s="26">
        <v>0.8</v>
      </c>
      <c r="G98" s="27">
        <v>1</v>
      </c>
      <c r="H98" s="28">
        <f>F98 * G98 * 13411.776</f>
        <v>10729.4208</v>
      </c>
      <c r="I98" s="28">
        <f>F98 * G98 * 0</f>
        <v>0</v>
      </c>
      <c r="J98" s="28">
        <f>F98 * G98 * 0</f>
        <v>0</v>
      </c>
      <c r="K98" s="28">
        <f>F98 * G98 * 12768.0107519999</f>
        <v>10214.40860159992</v>
      </c>
      <c r="L98" s="28">
        <f>F98 * G98 * 2748.87760899999</f>
        <v>2199.1020871999922</v>
      </c>
      <c r="M98" s="28">
        <f>F98 * G98 * 2682.3552</f>
        <v>2145.8841600000001</v>
      </c>
      <c r="N98" s="29">
        <f>SUM(H98:M98)</f>
        <v>25288.815648799915</v>
      </c>
      <c r="O98" s="30">
        <f t="shared" ref="O98:O101" si="37">N98*1.07*1.09*1.05</f>
        <v>30969.062975755111</v>
      </c>
      <c r="P98" s="31">
        <f t="shared" ref="P98:P101" si="38">IF($P$9&gt;0,O98/$P$9/12,0)</f>
        <v>0.21158934557510803</v>
      </c>
    </row>
    <row r="99" spans="2:16" x14ac:dyDescent="0.25">
      <c r="B99" s="23">
        <v>53</v>
      </c>
      <c r="C99" s="24" t="s">
        <v>213</v>
      </c>
      <c r="D99" s="25" t="s">
        <v>214</v>
      </c>
      <c r="E99" s="25" t="s">
        <v>215</v>
      </c>
      <c r="F99" s="26">
        <v>16.056999999999999</v>
      </c>
      <c r="G99" s="27">
        <v>1</v>
      </c>
      <c r="H99" s="28">
        <f>F99 * G99 * 194.470752</f>
        <v>3122.6168648639996</v>
      </c>
      <c r="I99" s="28">
        <f>F99 * G99 * 0</f>
        <v>0</v>
      </c>
      <c r="J99" s="28">
        <f>F99 * G99 * 0</f>
        <v>0</v>
      </c>
      <c r="K99" s="28">
        <f>F99 * G99 * 185.136156</f>
        <v>2972.7312568919997</v>
      </c>
      <c r="L99" s="28">
        <f>F99 * G99 * 39.858726</f>
        <v>640.01156338199985</v>
      </c>
      <c r="M99" s="28">
        <f>F99 * G99 * 38.89415</f>
        <v>624.52336654999999</v>
      </c>
      <c r="N99" s="29">
        <f>SUM(H99:M99)</f>
        <v>7359.8830516879989</v>
      </c>
      <c r="O99" s="30">
        <f t="shared" si="37"/>
        <v>9013.0231833429007</v>
      </c>
      <c r="P99" s="31">
        <f t="shared" si="38"/>
        <v>6.1579508508532839E-2</v>
      </c>
    </row>
    <row r="100" spans="2:16" ht="45" x14ac:dyDescent="0.25">
      <c r="B100" s="23">
        <v>54</v>
      </c>
      <c r="C100" s="24" t="s">
        <v>216</v>
      </c>
      <c r="D100" s="25" t="s">
        <v>217</v>
      </c>
      <c r="E100" s="25" t="s">
        <v>218</v>
      </c>
      <c r="F100" s="26">
        <v>0.6</v>
      </c>
      <c r="G100" s="27">
        <v>1</v>
      </c>
      <c r="H100" s="28">
        <f>F100 * G100 * 6989.448</f>
        <v>4193.6688000000004</v>
      </c>
      <c r="I100" s="28">
        <f>F100 * G100 * 693.653222</f>
        <v>416.19193319999999</v>
      </c>
      <c r="J100" s="28">
        <f>F100 * G100 * 0</f>
        <v>0</v>
      </c>
      <c r="K100" s="28">
        <f>F100 * G100 * 6653.954496</f>
        <v>3992.3726975999998</v>
      </c>
      <c r="L100" s="28">
        <f>F100 * G100 * 1505.390851</f>
        <v>903.23451060000002</v>
      </c>
      <c r="M100" s="28">
        <f>F100 * G100 * 1397.8896</f>
        <v>838.73375999999996</v>
      </c>
      <c r="N100" s="29">
        <f>SUM(H100:M100)</f>
        <v>10344.201701399998</v>
      </c>
      <c r="O100" s="30">
        <f t="shared" si="37"/>
        <v>12667.664566559961</v>
      </c>
      <c r="P100" s="31">
        <f t="shared" si="38"/>
        <v>8.6549045985078024E-2</v>
      </c>
    </row>
    <row r="101" spans="2:16" ht="30" x14ac:dyDescent="0.25">
      <c r="B101" s="23">
        <v>55</v>
      </c>
      <c r="C101" s="24" t="s">
        <v>219</v>
      </c>
      <c r="D101" s="25" t="s">
        <v>220</v>
      </c>
      <c r="E101" s="25" t="s">
        <v>23</v>
      </c>
      <c r="F101" s="26">
        <v>1.107</v>
      </c>
      <c r="G101" s="27">
        <v>1</v>
      </c>
      <c r="H101" s="28">
        <f>F101 * G101 * 833.40936</f>
        <v>922.58416151999995</v>
      </c>
      <c r="I101" s="28">
        <f>F101 * G101 * 0</f>
        <v>0</v>
      </c>
      <c r="J101" s="28">
        <f>F101 * G101 * 0</f>
        <v>0</v>
      </c>
      <c r="K101" s="28">
        <f>F101 * G101 * 793.405711</f>
        <v>878.30012207699997</v>
      </c>
      <c r="L101" s="28">
        <f>F101 * G101 * 170.815582</f>
        <v>189.092849274</v>
      </c>
      <c r="M101" s="28">
        <f>F101 * G101 * 166.681872</f>
        <v>184.51683230399999</v>
      </c>
      <c r="N101" s="29">
        <f>SUM(H101:M101)</f>
        <v>2174.4939651750001</v>
      </c>
      <c r="O101" s="30">
        <f t="shared" si="37"/>
        <v>2662.9179271627831</v>
      </c>
      <c r="P101" s="31">
        <f t="shared" si="38"/>
        <v>1.8193803989797922E-2</v>
      </c>
    </row>
    <row r="102" spans="2:16" x14ac:dyDescent="0.25">
      <c r="B102" s="33"/>
      <c r="C102" s="34" t="s">
        <v>221</v>
      </c>
      <c r="D102" s="96" t="s">
        <v>222</v>
      </c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</row>
    <row r="103" spans="2:16" x14ac:dyDescent="0.25">
      <c r="B103" s="33"/>
      <c r="C103" s="34" t="s">
        <v>223</v>
      </c>
      <c r="D103" s="98" t="s">
        <v>224</v>
      </c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</row>
    <row r="104" spans="2:16" ht="45" x14ac:dyDescent="0.25">
      <c r="B104" s="23">
        <v>56</v>
      </c>
      <c r="C104" s="24" t="s">
        <v>225</v>
      </c>
      <c r="D104" s="25" t="s">
        <v>226</v>
      </c>
      <c r="E104" s="25" t="s">
        <v>227</v>
      </c>
      <c r="F104" s="26">
        <v>2</v>
      </c>
      <c r="G104" s="27">
        <v>1</v>
      </c>
      <c r="H104" s="28">
        <f>F104 * G104 * 22.35296</f>
        <v>44.705919999999999</v>
      </c>
      <c r="I104" s="28">
        <f t="shared" ref="I104:I111" si="39">F104 * G104 * 0</f>
        <v>0</v>
      </c>
      <c r="J104" s="28">
        <f t="shared" ref="J104:J111" si="40">F104 * G104 * 0</f>
        <v>0</v>
      </c>
      <c r="K104" s="28">
        <f>F104 * G104 * 21.280018</f>
        <v>42.560035999999997</v>
      </c>
      <c r="L104" s="28">
        <f>F104 * G104 * 4.581463</f>
        <v>9.1629260000000006</v>
      </c>
      <c r="M104" s="28">
        <f>F104 * G104 * 4.470592</f>
        <v>8.9411839999999998</v>
      </c>
      <c r="N104" s="29">
        <f t="shared" ref="N104:N111" si="41">SUM(H104:M104)</f>
        <v>105.37006599999998</v>
      </c>
      <c r="O104" s="30">
        <f t="shared" ref="O104:O111" si="42">N104*1.07*1.09*1.05</f>
        <v>129.03776337458999</v>
      </c>
      <c r="P104" s="31">
        <f t="shared" ref="P104:P111" si="43">IF($P$9&gt;0,O104/$P$9/12,0)</f>
        <v>8.8162227989526103E-4</v>
      </c>
    </row>
    <row r="105" spans="2:16" ht="30" x14ac:dyDescent="0.25">
      <c r="B105" s="23">
        <v>57</v>
      </c>
      <c r="C105" s="24" t="s">
        <v>228</v>
      </c>
      <c r="D105" s="25" t="s">
        <v>229</v>
      </c>
      <c r="E105" s="25" t="s">
        <v>227</v>
      </c>
      <c r="F105" s="26">
        <v>228</v>
      </c>
      <c r="G105" s="27">
        <v>4</v>
      </c>
      <c r="H105" s="28">
        <f>F105 * G105 * 19.84308</f>
        <v>18096.88896</v>
      </c>
      <c r="I105" s="28">
        <f t="shared" si="39"/>
        <v>0</v>
      </c>
      <c r="J105" s="28">
        <f t="shared" si="40"/>
        <v>0</v>
      </c>
      <c r="K105" s="28">
        <f>F105 * G105 * 18.890612</f>
        <v>17228.238143999999</v>
      </c>
      <c r="L105" s="28">
        <f>F105 * G105 * 4.067037</f>
        <v>3709.1377440000001</v>
      </c>
      <c r="M105" s="28">
        <f>F105 * G105 * 3.968616</f>
        <v>3619.3777919999998</v>
      </c>
      <c r="N105" s="29">
        <f t="shared" si="41"/>
        <v>42653.642639999998</v>
      </c>
      <c r="O105" s="30">
        <f t="shared" si="42"/>
        <v>52234.290581583613</v>
      </c>
      <c r="P105" s="31">
        <f t="shared" si="43"/>
        <v>0.35687935955278355</v>
      </c>
    </row>
    <row r="106" spans="2:16" ht="45" x14ac:dyDescent="0.25">
      <c r="B106" s="23">
        <v>58</v>
      </c>
      <c r="C106" s="24" t="s">
        <v>230</v>
      </c>
      <c r="D106" s="25" t="s">
        <v>231</v>
      </c>
      <c r="E106" s="25" t="s">
        <v>227</v>
      </c>
      <c r="F106" s="26">
        <v>2</v>
      </c>
      <c r="G106" s="27">
        <v>1</v>
      </c>
      <c r="H106" s="28">
        <f>F106 * G106 * 59.52924</f>
        <v>119.05848</v>
      </c>
      <c r="I106" s="28">
        <f t="shared" si="39"/>
        <v>0</v>
      </c>
      <c r="J106" s="28">
        <f t="shared" si="40"/>
        <v>0</v>
      </c>
      <c r="K106" s="28">
        <f>F106 * G106 * 56.671836</f>
        <v>113.343672</v>
      </c>
      <c r="L106" s="28">
        <f>F106 * G106 * 12.201113</f>
        <v>24.402225999999999</v>
      </c>
      <c r="M106" s="28">
        <f>F106 * G106 * 11.905848</f>
        <v>23.811696000000001</v>
      </c>
      <c r="N106" s="29">
        <f t="shared" si="41"/>
        <v>280.61607399999997</v>
      </c>
      <c r="O106" s="30">
        <f t="shared" si="42"/>
        <v>343.64665346151003</v>
      </c>
      <c r="P106" s="31">
        <f t="shared" si="43"/>
        <v>2.3478905568412316E-3</v>
      </c>
    </row>
    <row r="107" spans="2:16" ht="45" x14ac:dyDescent="0.25">
      <c r="B107" s="23">
        <v>59</v>
      </c>
      <c r="C107" s="24" t="s">
        <v>232</v>
      </c>
      <c r="D107" s="25" t="s">
        <v>233</v>
      </c>
      <c r="E107" s="25" t="s">
        <v>234</v>
      </c>
      <c r="F107" s="26">
        <v>2</v>
      </c>
      <c r="G107" s="27">
        <v>1</v>
      </c>
      <c r="H107" s="28">
        <f>F107 * G107 * 118.470688</f>
        <v>236.94137599999999</v>
      </c>
      <c r="I107" s="28">
        <f t="shared" si="39"/>
        <v>0</v>
      </c>
      <c r="J107" s="28">
        <f t="shared" si="40"/>
        <v>0</v>
      </c>
      <c r="K107" s="28">
        <f>F107 * G107 * 112.784095</f>
        <v>225.56818999999999</v>
      </c>
      <c r="L107" s="28">
        <f>F107 * G107 * 24.281752</f>
        <v>48.563504000000002</v>
      </c>
      <c r="M107" s="28">
        <f>F107 * G107 * 23.694138</f>
        <v>47.388275999999998</v>
      </c>
      <c r="N107" s="29">
        <f t="shared" si="41"/>
        <v>558.46134599999993</v>
      </c>
      <c r="O107" s="30">
        <f t="shared" si="42"/>
        <v>683.90014123178992</v>
      </c>
      <c r="P107" s="31">
        <f t="shared" si="43"/>
        <v>4.67259805165061E-3</v>
      </c>
    </row>
    <row r="108" spans="2:16" ht="30" x14ac:dyDescent="0.25">
      <c r="B108" s="23">
        <v>60</v>
      </c>
      <c r="C108" s="24" t="s">
        <v>235</v>
      </c>
      <c r="D108" s="25" t="s">
        <v>236</v>
      </c>
      <c r="E108" s="25" t="s">
        <v>234</v>
      </c>
      <c r="F108" s="26">
        <v>2</v>
      </c>
      <c r="G108" s="27">
        <v>1</v>
      </c>
      <c r="H108" s="28">
        <f>F108 * G108 * 223.5296</f>
        <v>447.05919999999998</v>
      </c>
      <c r="I108" s="28">
        <f t="shared" si="39"/>
        <v>0</v>
      </c>
      <c r="J108" s="28">
        <f t="shared" si="40"/>
        <v>0</v>
      </c>
      <c r="K108" s="28">
        <f>F108 * G108 * 212.800179</f>
        <v>425.60035800000003</v>
      </c>
      <c r="L108" s="28">
        <f>F108 * G108 * 45.814627</f>
        <v>91.629254000000003</v>
      </c>
      <c r="M108" s="28">
        <f>F108 * G108 * 44.70592</f>
        <v>89.411839999999998</v>
      </c>
      <c r="N108" s="29">
        <f t="shared" si="41"/>
        <v>1053.700652</v>
      </c>
      <c r="O108" s="30">
        <f t="shared" si="42"/>
        <v>1290.3776239489803</v>
      </c>
      <c r="P108" s="31">
        <f t="shared" si="43"/>
        <v>8.8162227320173012E-3</v>
      </c>
    </row>
    <row r="109" spans="2:16" ht="30" x14ac:dyDescent="0.25">
      <c r="B109" s="23">
        <v>61</v>
      </c>
      <c r="C109" s="24" t="s">
        <v>237</v>
      </c>
      <c r="D109" s="25" t="s">
        <v>238</v>
      </c>
      <c r="E109" s="25" t="s">
        <v>227</v>
      </c>
      <c r="F109" s="26">
        <v>1</v>
      </c>
      <c r="G109" s="27">
        <v>1</v>
      </c>
      <c r="H109" s="28">
        <f>F109 * G109 * 44.70592</f>
        <v>44.705919999999999</v>
      </c>
      <c r="I109" s="28">
        <f t="shared" si="39"/>
        <v>0</v>
      </c>
      <c r="J109" s="28">
        <f t="shared" si="40"/>
        <v>0</v>
      </c>
      <c r="K109" s="28">
        <f>F109 * G109 * 42.560036</f>
        <v>42.560035999999997</v>
      </c>
      <c r="L109" s="28">
        <f>F109 * G109 * 9.162926</f>
        <v>9.1629260000000006</v>
      </c>
      <c r="M109" s="28">
        <f>F109 * G109 * 8.941184</f>
        <v>8.9411839999999998</v>
      </c>
      <c r="N109" s="29">
        <f t="shared" si="41"/>
        <v>105.37006599999998</v>
      </c>
      <c r="O109" s="30">
        <f t="shared" si="42"/>
        <v>129.03776337458999</v>
      </c>
      <c r="P109" s="31">
        <f t="shared" si="43"/>
        <v>8.8162227989526103E-4</v>
      </c>
    </row>
    <row r="110" spans="2:16" ht="30" x14ac:dyDescent="0.25">
      <c r="B110" s="23">
        <v>62</v>
      </c>
      <c r="C110" s="24" t="s">
        <v>239</v>
      </c>
      <c r="D110" s="25" t="s">
        <v>240</v>
      </c>
      <c r="E110" s="25" t="s">
        <v>227</v>
      </c>
      <c r="F110" s="26">
        <v>2</v>
      </c>
      <c r="G110" s="27">
        <v>1</v>
      </c>
      <c r="H110" s="28">
        <f>F110 * G110 * 160.941312</f>
        <v>321.88262400000002</v>
      </c>
      <c r="I110" s="28">
        <f t="shared" si="39"/>
        <v>0</v>
      </c>
      <c r="J110" s="28">
        <f t="shared" si="40"/>
        <v>0</v>
      </c>
      <c r="K110" s="28">
        <f>F110 * G110 * 153.216129</f>
        <v>306.43225799999999</v>
      </c>
      <c r="L110" s="28">
        <f>F110 * G110 * 32.986531</f>
        <v>65.973061999999999</v>
      </c>
      <c r="M110" s="28">
        <f>F110 * G110 * 32.188262</f>
        <v>64.376524000000003</v>
      </c>
      <c r="N110" s="29">
        <f t="shared" si="41"/>
        <v>758.66446800000006</v>
      </c>
      <c r="O110" s="30">
        <f t="shared" si="42"/>
        <v>929.07188747982025</v>
      </c>
      <c r="P110" s="31">
        <f t="shared" si="43"/>
        <v>6.3476803550041013E-3</v>
      </c>
    </row>
    <row r="111" spans="2:16" ht="30" x14ac:dyDescent="0.25">
      <c r="B111" s="23">
        <v>63</v>
      </c>
      <c r="C111" s="24" t="s">
        <v>241</v>
      </c>
      <c r="D111" s="25" t="s">
        <v>242</v>
      </c>
      <c r="E111" s="25" t="s">
        <v>227</v>
      </c>
      <c r="F111" s="26">
        <v>12</v>
      </c>
      <c r="G111" s="27">
        <v>1</v>
      </c>
      <c r="H111" s="28">
        <f>F111 * G111 * 22.35296</f>
        <v>268.23552000000001</v>
      </c>
      <c r="I111" s="28">
        <f t="shared" si="39"/>
        <v>0</v>
      </c>
      <c r="J111" s="28">
        <f t="shared" si="40"/>
        <v>0</v>
      </c>
      <c r="K111" s="28">
        <f>F111 * G111 * 21.280018</f>
        <v>255.36021599999998</v>
      </c>
      <c r="L111" s="28">
        <f>F111 * G111 * 4.581463</f>
        <v>54.977556000000007</v>
      </c>
      <c r="M111" s="28">
        <f>F111 * G111 * 4.470592</f>
        <v>53.647103999999999</v>
      </c>
      <c r="N111" s="29">
        <f t="shared" si="41"/>
        <v>632.22039600000005</v>
      </c>
      <c r="O111" s="30">
        <f t="shared" si="42"/>
        <v>774.22658024754026</v>
      </c>
      <c r="P111" s="31">
        <f t="shared" si="43"/>
        <v>5.2897336793715681E-3</v>
      </c>
    </row>
    <row r="112" spans="2:16" x14ac:dyDescent="0.25">
      <c r="B112" s="33"/>
      <c r="C112" s="34" t="s">
        <v>243</v>
      </c>
      <c r="D112" s="98" t="s">
        <v>244</v>
      </c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</row>
    <row r="113" spans="2:16" ht="30" x14ac:dyDescent="0.25">
      <c r="B113" s="23">
        <v>64</v>
      </c>
      <c r="C113" s="24" t="s">
        <v>245</v>
      </c>
      <c r="D113" s="25" t="s">
        <v>246</v>
      </c>
      <c r="E113" s="25" t="s">
        <v>227</v>
      </c>
      <c r="F113" s="26">
        <v>2</v>
      </c>
      <c r="G113" s="27">
        <v>1</v>
      </c>
      <c r="H113" s="28">
        <f>F113 * G113 * 35.764736</f>
        <v>71.529471999999998</v>
      </c>
      <c r="I113" s="28">
        <f t="shared" ref="I113:I120" si="44">F113 * G113 * 0</f>
        <v>0</v>
      </c>
      <c r="J113" s="28">
        <f t="shared" ref="J113:J120" si="45">F113 * G113 * 0</f>
        <v>0</v>
      </c>
      <c r="K113" s="28">
        <f>F113 * G113 * 34.048028</f>
        <v>68.096056000000004</v>
      </c>
      <c r="L113" s="28">
        <f>F113 * G113 * 7.33034</f>
        <v>14.660679999999999</v>
      </c>
      <c r="M113" s="28">
        <f>F113 * G113 * 7.152947</f>
        <v>14.305894</v>
      </c>
      <c r="N113" s="29">
        <f t="shared" ref="N113:N120" si="46">SUM(H113:M113)</f>
        <v>168.59210199999998</v>
      </c>
      <c r="O113" s="30">
        <f t="shared" ref="O113:O120" si="47">N113*1.07*1.09*1.05</f>
        <v>206.46041699073004</v>
      </c>
      <c r="P113" s="31">
        <f t="shared" ref="P113:P120" si="48">IF($P$9&gt;0,O113/$P$9/12,0)</f>
        <v>1.4105956177115277E-3</v>
      </c>
    </row>
    <row r="114" spans="2:16" ht="30" x14ac:dyDescent="0.25">
      <c r="B114" s="23">
        <v>65</v>
      </c>
      <c r="C114" s="24" t="s">
        <v>247</v>
      </c>
      <c r="D114" s="25" t="s">
        <v>248</v>
      </c>
      <c r="E114" s="25" t="s">
        <v>227</v>
      </c>
      <c r="F114" s="26">
        <v>228</v>
      </c>
      <c r="G114" s="27">
        <v>4</v>
      </c>
      <c r="H114" s="28">
        <f>F114 * G114 * 19.84308</f>
        <v>18096.88896</v>
      </c>
      <c r="I114" s="28">
        <f t="shared" si="44"/>
        <v>0</v>
      </c>
      <c r="J114" s="28">
        <f t="shared" si="45"/>
        <v>0</v>
      </c>
      <c r="K114" s="28">
        <f>F114 * G114 * 18.890612</f>
        <v>17228.238143999999</v>
      </c>
      <c r="L114" s="28">
        <f>F114 * G114 * 4.067037</f>
        <v>3709.1377440000001</v>
      </c>
      <c r="M114" s="28">
        <f>F114 * G114 * 3.968616</f>
        <v>3619.3777919999998</v>
      </c>
      <c r="N114" s="29">
        <f t="shared" si="46"/>
        <v>42653.642639999998</v>
      </c>
      <c r="O114" s="30">
        <f t="shared" si="47"/>
        <v>52234.290581583613</v>
      </c>
      <c r="P114" s="31">
        <f t="shared" si="48"/>
        <v>0.35687935955278355</v>
      </c>
    </row>
    <row r="115" spans="2:16" ht="45" x14ac:dyDescent="0.25">
      <c r="B115" s="23">
        <v>66</v>
      </c>
      <c r="C115" s="24" t="s">
        <v>249</v>
      </c>
      <c r="D115" s="25" t="s">
        <v>250</v>
      </c>
      <c r="E115" s="25" t="s">
        <v>227</v>
      </c>
      <c r="F115" s="26">
        <v>2</v>
      </c>
      <c r="G115" s="27">
        <v>1</v>
      </c>
      <c r="H115" s="28">
        <f>F115 * G115 * 59.52924</f>
        <v>119.05848</v>
      </c>
      <c r="I115" s="28">
        <f t="shared" si="44"/>
        <v>0</v>
      </c>
      <c r="J115" s="28">
        <f t="shared" si="45"/>
        <v>0</v>
      </c>
      <c r="K115" s="28">
        <f>F115 * G115 * 56.671836</f>
        <v>113.343672</v>
      </c>
      <c r="L115" s="28">
        <f>F115 * G115 * 12.201113</f>
        <v>24.402225999999999</v>
      </c>
      <c r="M115" s="28">
        <f>F115 * G115 * 11.905848</f>
        <v>23.811696000000001</v>
      </c>
      <c r="N115" s="29">
        <f t="shared" si="46"/>
        <v>280.61607399999997</v>
      </c>
      <c r="O115" s="30">
        <f t="shared" si="47"/>
        <v>343.64665346151003</v>
      </c>
      <c r="P115" s="31">
        <f t="shared" si="48"/>
        <v>2.3478905568412316E-3</v>
      </c>
    </row>
    <row r="116" spans="2:16" ht="45" x14ac:dyDescent="0.25">
      <c r="B116" s="23">
        <v>67</v>
      </c>
      <c r="C116" s="24" t="s">
        <v>251</v>
      </c>
      <c r="D116" s="25" t="s">
        <v>252</v>
      </c>
      <c r="E116" s="25" t="s">
        <v>234</v>
      </c>
      <c r="F116" s="26">
        <v>2</v>
      </c>
      <c r="G116" s="27">
        <v>1</v>
      </c>
      <c r="H116" s="28">
        <f>F116 * G116 * 170.650488</f>
        <v>341.30097599999999</v>
      </c>
      <c r="I116" s="28">
        <f t="shared" si="44"/>
        <v>0</v>
      </c>
      <c r="J116" s="28">
        <f t="shared" si="45"/>
        <v>0</v>
      </c>
      <c r="K116" s="28">
        <f>F116 * G116 * 162.459264</f>
        <v>324.91852799999998</v>
      </c>
      <c r="L116" s="28">
        <f>F116 * G116 * 34.976524</f>
        <v>69.953047999999995</v>
      </c>
      <c r="M116" s="28">
        <f>F116 * G116 * 34.130098</f>
        <v>68.260195999999993</v>
      </c>
      <c r="N116" s="29">
        <f t="shared" si="46"/>
        <v>804.43274799999983</v>
      </c>
      <c r="O116" s="30">
        <f t="shared" si="47"/>
        <v>985.12040969201996</v>
      </c>
      <c r="P116" s="31">
        <f t="shared" si="48"/>
        <v>6.7306196174743782E-3</v>
      </c>
    </row>
    <row r="117" spans="2:16" ht="30" x14ac:dyDescent="0.25">
      <c r="B117" s="23">
        <v>68</v>
      </c>
      <c r="C117" s="24" t="s">
        <v>253</v>
      </c>
      <c r="D117" s="25" t="s">
        <v>254</v>
      </c>
      <c r="E117" s="25" t="s">
        <v>234</v>
      </c>
      <c r="F117" s="26">
        <v>2</v>
      </c>
      <c r="G117" s="27">
        <v>1</v>
      </c>
      <c r="H117" s="28">
        <f>F117 * G117 * 223.5296</f>
        <v>447.05919999999998</v>
      </c>
      <c r="I117" s="28">
        <f t="shared" si="44"/>
        <v>0</v>
      </c>
      <c r="J117" s="28">
        <f t="shared" si="45"/>
        <v>0</v>
      </c>
      <c r="K117" s="28">
        <f>F117 * G117 * 212.800179</f>
        <v>425.60035800000003</v>
      </c>
      <c r="L117" s="28">
        <f>F117 * G117 * 45.814627</f>
        <v>91.629254000000003</v>
      </c>
      <c r="M117" s="28">
        <f>F117 * G117 * 44.70592</f>
        <v>89.411839999999998</v>
      </c>
      <c r="N117" s="29">
        <f t="shared" si="46"/>
        <v>1053.700652</v>
      </c>
      <c r="O117" s="30">
        <f t="shared" si="47"/>
        <v>1290.3776239489803</v>
      </c>
      <c r="P117" s="31">
        <f t="shared" si="48"/>
        <v>8.8162227320173012E-3</v>
      </c>
    </row>
    <row r="118" spans="2:16" ht="30" x14ac:dyDescent="0.25">
      <c r="B118" s="23">
        <v>69</v>
      </c>
      <c r="C118" s="24" t="s">
        <v>255</v>
      </c>
      <c r="D118" s="25" t="s">
        <v>256</v>
      </c>
      <c r="E118" s="25" t="s">
        <v>227</v>
      </c>
      <c r="F118" s="26">
        <v>5</v>
      </c>
      <c r="G118" s="27">
        <v>1</v>
      </c>
      <c r="H118" s="28">
        <f>F118 * G118 * 44.70592</f>
        <v>223.52959999999999</v>
      </c>
      <c r="I118" s="28">
        <f t="shared" si="44"/>
        <v>0</v>
      </c>
      <c r="J118" s="28">
        <f t="shared" si="45"/>
        <v>0</v>
      </c>
      <c r="K118" s="28">
        <f>F118 * G118 * 42.560036</f>
        <v>212.80017999999998</v>
      </c>
      <c r="L118" s="28">
        <f>F118 * G118 * 9.162926</f>
        <v>45.814630000000001</v>
      </c>
      <c r="M118" s="28">
        <f>F118 * G118 * 8.941184</f>
        <v>44.705919999999999</v>
      </c>
      <c r="N118" s="29">
        <f t="shared" si="46"/>
        <v>526.85032999999999</v>
      </c>
      <c r="O118" s="30">
        <f t="shared" si="47"/>
        <v>645.18881687295004</v>
      </c>
      <c r="P118" s="31">
        <f t="shared" si="48"/>
        <v>4.4081113994763063E-3</v>
      </c>
    </row>
    <row r="119" spans="2:16" ht="30" x14ac:dyDescent="0.25">
      <c r="B119" s="23">
        <v>70</v>
      </c>
      <c r="C119" s="24" t="s">
        <v>257</v>
      </c>
      <c r="D119" s="25" t="s">
        <v>258</v>
      </c>
      <c r="E119" s="25" t="s">
        <v>227</v>
      </c>
      <c r="F119" s="26">
        <v>3</v>
      </c>
      <c r="G119" s="27">
        <v>1</v>
      </c>
      <c r="H119" s="28">
        <f>F119 * G119 * 160.941312</f>
        <v>482.823936</v>
      </c>
      <c r="I119" s="28">
        <f t="shared" si="44"/>
        <v>0</v>
      </c>
      <c r="J119" s="28">
        <f t="shared" si="45"/>
        <v>0</v>
      </c>
      <c r="K119" s="28">
        <f>F119 * G119 * 153.216129</f>
        <v>459.64838699999996</v>
      </c>
      <c r="L119" s="28">
        <f>F119 * G119 * 32.986531</f>
        <v>98.959592999999998</v>
      </c>
      <c r="M119" s="28">
        <f>F119 * G119 * 32.188262</f>
        <v>96.564785999999998</v>
      </c>
      <c r="N119" s="29">
        <f t="shared" si="46"/>
        <v>1137.9967019999999</v>
      </c>
      <c r="O119" s="30">
        <f t="shared" si="47"/>
        <v>1393.6078312197301</v>
      </c>
      <c r="P119" s="31">
        <f t="shared" si="48"/>
        <v>9.5215205325061506E-3</v>
      </c>
    </row>
    <row r="120" spans="2:16" ht="45" x14ac:dyDescent="0.25">
      <c r="B120" s="23">
        <v>71</v>
      </c>
      <c r="C120" s="24" t="s">
        <v>259</v>
      </c>
      <c r="D120" s="25" t="s">
        <v>260</v>
      </c>
      <c r="E120" s="25" t="s">
        <v>227</v>
      </c>
      <c r="F120" s="26">
        <v>3</v>
      </c>
      <c r="G120" s="27">
        <v>1</v>
      </c>
      <c r="H120" s="28">
        <f>F120 * G120 * 35.764736</f>
        <v>107.294208</v>
      </c>
      <c r="I120" s="28">
        <f t="shared" si="44"/>
        <v>0</v>
      </c>
      <c r="J120" s="28">
        <f t="shared" si="45"/>
        <v>0</v>
      </c>
      <c r="K120" s="28">
        <f>F120 * G120 * 34.048028</f>
        <v>102.14408400000001</v>
      </c>
      <c r="L120" s="28">
        <f>F120 * G120 * 7.33034</f>
        <v>21.991019999999999</v>
      </c>
      <c r="M120" s="28">
        <f>F120 * G120 * 7.152947</f>
        <v>21.458841</v>
      </c>
      <c r="N120" s="29">
        <f t="shared" si="46"/>
        <v>252.88815299999999</v>
      </c>
      <c r="O120" s="30">
        <f t="shared" si="47"/>
        <v>309.69062548609509</v>
      </c>
      <c r="P120" s="31">
        <f t="shared" si="48"/>
        <v>2.1158934265672917E-3</v>
      </c>
    </row>
    <row r="121" spans="2:16" ht="12.75" customHeight="1" x14ac:dyDescent="0.25">
      <c r="B121" s="21"/>
      <c r="C121" s="22" t="s">
        <v>261</v>
      </c>
      <c r="D121" s="95" t="s">
        <v>262</v>
      </c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</row>
    <row r="122" spans="2:16" x14ac:dyDescent="0.25">
      <c r="B122" s="33"/>
      <c r="C122" s="34" t="s">
        <v>263</v>
      </c>
      <c r="D122" s="96" t="s">
        <v>264</v>
      </c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</row>
    <row r="123" spans="2:16" ht="105" x14ac:dyDescent="0.25">
      <c r="B123" s="23">
        <v>72</v>
      </c>
      <c r="C123" s="24" t="s">
        <v>265</v>
      </c>
      <c r="D123" s="25" t="s">
        <v>266</v>
      </c>
      <c r="E123" s="25" t="s">
        <v>267</v>
      </c>
      <c r="F123" s="26">
        <v>1</v>
      </c>
      <c r="G123" s="27">
        <v>3</v>
      </c>
      <c r="H123" s="28">
        <f>F123 * G123 * 1977.406272</f>
        <v>5932.2188159999996</v>
      </c>
      <c r="I123" s="28">
        <f>F123 * G123 * 0</f>
        <v>0</v>
      </c>
      <c r="J123" s="28">
        <f>F123 * G123 * 0</f>
        <v>0</v>
      </c>
      <c r="K123" s="28">
        <f>F123 * G123 * 1882.490771</f>
        <v>5647.4723130000002</v>
      </c>
      <c r="L123" s="28">
        <f>F123 * G123 * 405.289189</f>
        <v>1215.867567</v>
      </c>
      <c r="M123" s="28">
        <f>F123 * G123 * 395.481254</f>
        <v>1186.4437619999999</v>
      </c>
      <c r="N123" s="29">
        <f>SUM(H123:M123)</f>
        <v>13982.002457999999</v>
      </c>
      <c r="O123" s="30">
        <f t="shared" ref="O123" si="49">N123*1.07*1.09*1.05</f>
        <v>17122.569940103673</v>
      </c>
      <c r="P123" s="31">
        <f>IF($P$9&gt;0,O123/$P$9/12,0)</f>
        <v>0.11698621204738646</v>
      </c>
    </row>
    <row r="124" spans="2:16" ht="14.25" customHeight="1" x14ac:dyDescent="0.25">
      <c r="B124" s="97" t="s">
        <v>30</v>
      </c>
      <c r="C124" s="97"/>
      <c r="D124" s="97"/>
      <c r="E124" s="97"/>
      <c r="F124" s="97"/>
      <c r="G124" s="97"/>
      <c r="H124" s="36">
        <f t="shared" ref="H124:P124" si="50">SUM(H18:H123)</f>
        <v>149846.94374990906</v>
      </c>
      <c r="I124" s="36">
        <f t="shared" si="50"/>
        <v>202069.43207766005</v>
      </c>
      <c r="J124" s="36">
        <f t="shared" si="50"/>
        <v>887.79721239000014</v>
      </c>
      <c r="K124" s="36">
        <f t="shared" si="50"/>
        <v>143019.42159142983</v>
      </c>
      <c r="L124" s="36">
        <f t="shared" si="50"/>
        <v>52061.476247968931</v>
      </c>
      <c r="M124" s="36">
        <f t="shared" si="50"/>
        <v>30046.097026220006</v>
      </c>
      <c r="N124" s="36">
        <f t="shared" si="50"/>
        <v>577931.16790557804</v>
      </c>
      <c r="O124" s="38">
        <f>SUM(O123,O113:O120,O104:O111,O98:O101,O94:O95,O92,O89:O90,O84:O87,O80:O81,O75:O78,O68:O72,O66,O62:O63,O60,O58,O55:O56,O53,O49:O50,O47,O39:O44,O35:O37,O31:O33,O27:O29,O21:O25)</f>
        <v>707743.17718468932</v>
      </c>
      <c r="P124" s="37">
        <f t="shared" si="50"/>
        <v>4.8355003770373131</v>
      </c>
    </row>
    <row r="125" spans="2:16" x14ac:dyDescent="0.25">
      <c r="B125" s="92" t="s">
        <v>1030</v>
      </c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3"/>
      <c r="N125" s="93"/>
      <c r="O125" s="16"/>
      <c r="P125" s="17"/>
    </row>
    <row r="126" spans="2:16" x14ac:dyDescent="0.25">
      <c r="B126" s="92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4"/>
      <c r="N126" s="94"/>
      <c r="O126" s="18"/>
      <c r="P126" s="19"/>
    </row>
    <row r="127" spans="2:16" ht="13.5" customHeight="1" x14ac:dyDescent="0.25">
      <c r="B127" s="21"/>
      <c r="C127" s="22" t="s">
        <v>268</v>
      </c>
      <c r="D127" s="95" t="s">
        <v>269</v>
      </c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</row>
    <row r="128" spans="2:16" x14ac:dyDescent="0.25">
      <c r="B128" s="33"/>
      <c r="C128" s="34" t="s">
        <v>270</v>
      </c>
      <c r="D128" s="96" t="s">
        <v>271</v>
      </c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</row>
    <row r="129" spans="2:16" x14ac:dyDescent="0.25">
      <c r="B129" s="33"/>
      <c r="C129" s="34" t="s">
        <v>272</v>
      </c>
      <c r="D129" s="98" t="s">
        <v>273</v>
      </c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</row>
    <row r="130" spans="2:16" ht="30" x14ac:dyDescent="0.25">
      <c r="B130" s="23">
        <v>1</v>
      </c>
      <c r="C130" s="24" t="s">
        <v>274</v>
      </c>
      <c r="D130" s="25" t="s">
        <v>275</v>
      </c>
      <c r="E130" s="25" t="s">
        <v>276</v>
      </c>
      <c r="F130" s="26">
        <v>0.2</v>
      </c>
      <c r="G130" s="27">
        <v>2</v>
      </c>
      <c r="H130" s="28">
        <f>F130 * G130 * 1190.0952</f>
        <v>476.03808000000004</v>
      </c>
      <c r="I130" s="28">
        <f>F130 * G130 * 560.367972</f>
        <v>224.14718880000001</v>
      </c>
      <c r="J130" s="28">
        <f>F130 * G130 * 0</f>
        <v>0</v>
      </c>
      <c r="K130" s="28">
        <f>F130 * G130 * 1132.97063</f>
        <v>453.18825200000003</v>
      </c>
      <c r="L130" s="28">
        <f>F130 * G130 * 302.760549</f>
        <v>121.10421960000002</v>
      </c>
      <c r="M130" s="28">
        <f>F130 * G130 * 238.01904</f>
        <v>95.207616000000002</v>
      </c>
      <c r="N130" s="29">
        <f>SUM(H130:M130)</f>
        <v>1369.6853564</v>
      </c>
      <c r="O130" s="30">
        <f t="shared" ref="O130:O131" si="51">N130*1.07*1.09*1.05</f>
        <v>1677.3372327277864</v>
      </c>
      <c r="P130" s="31">
        <f t="shared" ref="P130:P131" si="52">IF($P$9&gt;0,O130/$P$9/12,0)</f>
        <v>1.1460039577544932E-2</v>
      </c>
    </row>
    <row r="131" spans="2:16" ht="30" x14ac:dyDescent="0.25">
      <c r="B131" s="23">
        <v>2</v>
      </c>
      <c r="C131" s="24" t="s">
        <v>277</v>
      </c>
      <c r="D131" s="25" t="s">
        <v>278</v>
      </c>
      <c r="E131" s="25" t="s">
        <v>276</v>
      </c>
      <c r="F131" s="26">
        <v>0.108</v>
      </c>
      <c r="G131" s="27">
        <v>2</v>
      </c>
      <c r="H131" s="28">
        <f>F131 * G131 * 2089.27824</f>
        <v>451.28409984000001</v>
      </c>
      <c r="I131" s="28">
        <f>F131 * G131 * 864.345892</f>
        <v>186.698712672</v>
      </c>
      <c r="J131" s="28">
        <f>F131 * G131 * 0</f>
        <v>0</v>
      </c>
      <c r="K131" s="28">
        <f>F131 * G131 * 1988.992884</f>
        <v>429.62246294400001</v>
      </c>
      <c r="L131" s="28">
        <f>F131 * G131 * 518.974787</f>
        <v>112.09855399199999</v>
      </c>
      <c r="M131" s="28">
        <f>F131 * G131 * 417.855648</f>
        <v>90.256819967999988</v>
      </c>
      <c r="N131" s="29">
        <f>SUM(H131:M131)</f>
        <v>1269.960649416</v>
      </c>
      <c r="O131" s="30">
        <f t="shared" si="51"/>
        <v>1555.2128606845752</v>
      </c>
      <c r="P131" s="31">
        <f t="shared" si="52"/>
        <v>1.0625651531008822E-2</v>
      </c>
    </row>
    <row r="132" spans="2:16" x14ac:dyDescent="0.25">
      <c r="B132" s="33"/>
      <c r="C132" s="34" t="s">
        <v>279</v>
      </c>
      <c r="D132" s="98" t="s">
        <v>280</v>
      </c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</row>
    <row r="133" spans="2:16" ht="30" x14ac:dyDescent="0.25">
      <c r="B133" s="23">
        <v>3</v>
      </c>
      <c r="C133" s="24" t="s">
        <v>281</v>
      </c>
      <c r="D133" s="25" t="s">
        <v>282</v>
      </c>
      <c r="E133" s="25" t="s">
        <v>283</v>
      </c>
      <c r="F133" s="26">
        <v>4</v>
      </c>
      <c r="G133" s="27">
        <v>1</v>
      </c>
      <c r="H133" s="28">
        <f>F133 * G133 * 95.069916</f>
        <v>380.27966400000003</v>
      </c>
      <c r="I133" s="28">
        <f>F133 * G133 * 226.378286</f>
        <v>905.51314400000001</v>
      </c>
      <c r="J133" s="28">
        <f>F133 * G133 * 0</f>
        <v>0</v>
      </c>
      <c r="K133" s="28">
        <f>F133 * G133 * 90.50656</f>
        <v>362.02623999999997</v>
      </c>
      <c r="L133" s="28">
        <f>F133 * G133 * 43.25525</f>
        <v>173.02099999999999</v>
      </c>
      <c r="M133" s="28">
        <f>F133 * G133 * 19.013983</f>
        <v>76.055931999999999</v>
      </c>
      <c r="N133" s="29">
        <f>SUM(H133:M133)</f>
        <v>1896.89598</v>
      </c>
      <c r="O133" s="30">
        <f t="shared" ref="O133:O136" si="53">N133*1.07*1.09*1.05</f>
        <v>2322.9672705477005</v>
      </c>
      <c r="P133" s="31">
        <f t="shared" ref="P133:P136" si="54">IF($P$9&gt;0,O133/$P$9/12,0)</f>
        <v>1.5871165522585474E-2</v>
      </c>
    </row>
    <row r="134" spans="2:16" ht="30" x14ac:dyDescent="0.25">
      <c r="B134" s="23">
        <v>4</v>
      </c>
      <c r="C134" s="24" t="s">
        <v>284</v>
      </c>
      <c r="D134" s="25" t="s">
        <v>285</v>
      </c>
      <c r="E134" s="25" t="s">
        <v>283</v>
      </c>
      <c r="F134" s="26">
        <v>6</v>
      </c>
      <c r="G134" s="27">
        <v>1</v>
      </c>
      <c r="H134" s="28">
        <f>F134 * G134 * 109.420092</f>
        <v>656.52055199999995</v>
      </c>
      <c r="I134" s="28">
        <f>F134 * G134 * 226.378286</f>
        <v>1358.269716</v>
      </c>
      <c r="J134" s="28">
        <f>F134 * G134 * 0</f>
        <v>0</v>
      </c>
      <c r="K134" s="28">
        <f>F134 * G134 * 104.167927999999</f>
        <v>625.00756799999397</v>
      </c>
      <c r="L134" s="28">
        <f>F134 * G134 * 46.196463</f>
        <v>277.17877800000002</v>
      </c>
      <c r="M134" s="28">
        <f>F134 * G134 * 21.884018</f>
        <v>131.30410800000001</v>
      </c>
      <c r="N134" s="29">
        <f>SUM(H134:M134)</f>
        <v>3048.2807219999936</v>
      </c>
      <c r="O134" s="30">
        <f t="shared" si="53"/>
        <v>3732.9702963720229</v>
      </c>
      <c r="P134" s="31">
        <f t="shared" si="54"/>
        <v>2.5504702634336466E-2</v>
      </c>
    </row>
    <row r="135" spans="2:16" ht="30" x14ac:dyDescent="0.25">
      <c r="B135" s="23">
        <v>5</v>
      </c>
      <c r="C135" s="24" t="s">
        <v>286</v>
      </c>
      <c r="D135" s="25" t="s">
        <v>287</v>
      </c>
      <c r="E135" s="25" t="s">
        <v>283</v>
      </c>
      <c r="F135" s="26">
        <v>2</v>
      </c>
      <c r="G135" s="27">
        <v>1</v>
      </c>
      <c r="H135" s="28">
        <f>F135 * G135 * 116.59518</f>
        <v>233.19036</v>
      </c>
      <c r="I135" s="28">
        <f>F135 * G135 * 226.378286</f>
        <v>452.75657200000001</v>
      </c>
      <c r="J135" s="28">
        <f>F135 * G135 * 0</f>
        <v>0</v>
      </c>
      <c r="K135" s="28">
        <f>F135 * G135 * 110.998611</f>
        <v>221.99722199999999</v>
      </c>
      <c r="L135" s="28">
        <f>F135 * G135 * 47.667068</f>
        <v>95.334136000000001</v>
      </c>
      <c r="M135" s="28">
        <f>F135 * G135 * 23.319036</f>
        <v>46.638072000000001</v>
      </c>
      <c r="N135" s="29">
        <f>SUM(H135:M135)</f>
        <v>1049.9163619999999</v>
      </c>
      <c r="O135" s="30">
        <f t="shared" si="53"/>
        <v>1285.7433256506304</v>
      </c>
      <c r="P135" s="31">
        <f t="shared" si="54"/>
        <v>8.7845599030542381E-3</v>
      </c>
    </row>
    <row r="136" spans="2:16" ht="30" x14ac:dyDescent="0.25">
      <c r="B136" s="23">
        <v>6</v>
      </c>
      <c r="C136" s="24" t="s">
        <v>288</v>
      </c>
      <c r="D136" s="25" t="s">
        <v>289</v>
      </c>
      <c r="E136" s="25" t="s">
        <v>283</v>
      </c>
      <c r="F136" s="26">
        <v>2</v>
      </c>
      <c r="G136" s="27">
        <v>1</v>
      </c>
      <c r="H136" s="28">
        <f>F136 * G136 * 138.120444</f>
        <v>276.24088799999998</v>
      </c>
      <c r="I136" s="28">
        <f>F136 * G136 * 226.378286</f>
        <v>452.75657200000001</v>
      </c>
      <c r="J136" s="28">
        <f>F136 * G136 * 0</f>
        <v>0</v>
      </c>
      <c r="K136" s="28">
        <f>F136 * G136 * 131.490662999999</f>
        <v>262.98132599999798</v>
      </c>
      <c r="L136" s="28">
        <f>F136 * G136 * 52.078886</f>
        <v>104.15777199999999</v>
      </c>
      <c r="M136" s="28">
        <f>F136 * G136 * 27.624089</f>
        <v>55.248178000000003</v>
      </c>
      <c r="N136" s="29">
        <f>SUM(H136:M136)</f>
        <v>1151.3847359999982</v>
      </c>
      <c r="O136" s="30">
        <f t="shared" si="53"/>
        <v>1410.0030184766381</v>
      </c>
      <c r="P136" s="31">
        <f t="shared" si="54"/>
        <v>9.6335370615495478E-3</v>
      </c>
    </row>
    <row r="137" spans="2:16" x14ac:dyDescent="0.25">
      <c r="B137" s="33"/>
      <c r="C137" s="34" t="s">
        <v>290</v>
      </c>
      <c r="D137" s="98" t="s">
        <v>291</v>
      </c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</row>
    <row r="138" spans="2:16" x14ac:dyDescent="0.25">
      <c r="B138" s="23">
        <v>7</v>
      </c>
      <c r="C138" s="24" t="s">
        <v>292</v>
      </c>
      <c r="D138" s="25" t="s">
        <v>293</v>
      </c>
      <c r="E138" s="25" t="s">
        <v>294</v>
      </c>
      <c r="F138" s="26">
        <v>4</v>
      </c>
      <c r="G138" s="27">
        <v>1</v>
      </c>
      <c r="H138" s="28">
        <f>F138 * G138 * 158.706016</f>
        <v>634.82406400000002</v>
      </c>
      <c r="I138" s="28">
        <f>F138 * G138 * 477.26808</f>
        <v>1909.07232</v>
      </c>
      <c r="J138" s="28">
        <f>F138 * G138 * 0</f>
        <v>0</v>
      </c>
      <c r="K138" s="28">
        <f>F138 * G138 * 151.088127</f>
        <v>604.35250799999994</v>
      </c>
      <c r="L138" s="28">
        <f>F138 * G138 * 82.641533</f>
        <v>330.56613199999998</v>
      </c>
      <c r="M138" s="28">
        <f>F138 * G138 * 31.741203</f>
        <v>126.96481199999999</v>
      </c>
      <c r="N138" s="29">
        <f>SUM(H138:M138)</f>
        <v>3605.7798360000002</v>
      </c>
      <c r="O138" s="30">
        <f t="shared" ref="O138" si="55">N138*1.07*1.09*1.05</f>
        <v>4415.6920738631406</v>
      </c>
      <c r="P138" s="31">
        <f>IF($P$9&gt;0,O138/$P$9/12,0)</f>
        <v>3.0169249773599662E-2</v>
      </c>
    </row>
    <row r="139" spans="2:16" x14ac:dyDescent="0.25">
      <c r="B139" s="33"/>
      <c r="C139" s="34" t="s">
        <v>295</v>
      </c>
      <c r="D139" s="98" t="s">
        <v>296</v>
      </c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</row>
    <row r="140" spans="2:16" ht="30" x14ac:dyDescent="0.25">
      <c r="B140" s="23">
        <v>8</v>
      </c>
      <c r="C140" s="24" t="s">
        <v>297</v>
      </c>
      <c r="D140" s="25" t="s">
        <v>298</v>
      </c>
      <c r="E140" s="25" t="s">
        <v>299</v>
      </c>
      <c r="F140" s="26">
        <v>2</v>
      </c>
      <c r="G140" s="27">
        <v>0.5</v>
      </c>
      <c r="H140" s="28">
        <f>F140 * G140 * 317.412032</f>
        <v>317.41203200000001</v>
      </c>
      <c r="I140" s="28">
        <f>F140 * G140 * 152.65078</f>
        <v>152.65078</v>
      </c>
      <c r="J140" s="28">
        <f>F140 * G140 * 0</f>
        <v>0</v>
      </c>
      <c r="K140" s="28">
        <f>F140 * G140 * 302.176255</f>
        <v>302.17625500000003</v>
      </c>
      <c r="L140" s="28">
        <f>F140 * G140 * 81.0851019999999</f>
        <v>81.085101999999907</v>
      </c>
      <c r="M140" s="28">
        <f>F140 * G140 * 63.482406</f>
        <v>63.482405999999997</v>
      </c>
      <c r="N140" s="29">
        <f>SUM(H140:M140)</f>
        <v>916.80657499999984</v>
      </c>
      <c r="O140" s="30">
        <f t="shared" ref="O140:O144" si="56">N140*1.07*1.09*1.05</f>
        <v>1122.735083843625</v>
      </c>
      <c r="P140" s="31">
        <f t="shared" ref="P140:P144" si="57">IF($P$9&gt;0,O140/$P$9/12,0)</f>
        <v>7.6708417632998897E-3</v>
      </c>
    </row>
    <row r="141" spans="2:16" ht="30" x14ac:dyDescent="0.25">
      <c r="B141" s="23">
        <v>9</v>
      </c>
      <c r="C141" s="24" t="s">
        <v>300</v>
      </c>
      <c r="D141" s="25" t="s">
        <v>301</v>
      </c>
      <c r="E141" s="25" t="s">
        <v>299</v>
      </c>
      <c r="F141" s="26">
        <v>2</v>
      </c>
      <c r="G141" s="27">
        <v>0.5</v>
      </c>
      <c r="H141" s="28">
        <f>F141 * G141 * 377.765024</f>
        <v>377.76502399999998</v>
      </c>
      <c r="I141" s="28">
        <f>F141 * G141 * 256.387803</f>
        <v>256.38780300000002</v>
      </c>
      <c r="J141" s="28">
        <f>F141 * G141 * 0</f>
        <v>0</v>
      </c>
      <c r="K141" s="28">
        <f>F141 * G141 * 359.632303</f>
        <v>359.63230299999998</v>
      </c>
      <c r="L141" s="28">
        <f>F141 * G141 * 104.347439</f>
        <v>104.34743899999999</v>
      </c>
      <c r="M141" s="28">
        <f>F141 * G141 * 75.553005</f>
        <v>75.553004999999999</v>
      </c>
      <c r="N141" s="29">
        <f>SUM(H141:M141)</f>
        <v>1173.6855739999999</v>
      </c>
      <c r="O141" s="30">
        <f t="shared" si="56"/>
        <v>1437.3129592040102</v>
      </c>
      <c r="P141" s="31">
        <f t="shared" si="57"/>
        <v>9.8201262551174482E-3</v>
      </c>
    </row>
    <row r="142" spans="2:16" ht="30" x14ac:dyDescent="0.25">
      <c r="B142" s="23">
        <v>10</v>
      </c>
      <c r="C142" s="24" t="s">
        <v>302</v>
      </c>
      <c r="D142" s="25" t="s">
        <v>303</v>
      </c>
      <c r="E142" s="25" t="s">
        <v>299</v>
      </c>
      <c r="F142" s="26">
        <v>2</v>
      </c>
      <c r="G142" s="27">
        <v>0.5</v>
      </c>
      <c r="H142" s="28">
        <f>F142 * G142 * 447.0592</f>
        <v>447.05919999999998</v>
      </c>
      <c r="I142" s="28">
        <f>F142 * G142 * 283.887162</f>
        <v>283.88716199999999</v>
      </c>
      <c r="J142" s="28">
        <f>F142 * G142 * 0</f>
        <v>0</v>
      </c>
      <c r="K142" s="28">
        <f>F142 * G142 * 425.600358</f>
        <v>425.60035800000003</v>
      </c>
      <c r="L142" s="28">
        <f>F142 * G142 * 121.437406</f>
        <v>121.437406</v>
      </c>
      <c r="M142" s="28">
        <f>F142 * G142 * 89.41184</f>
        <v>89.411839999999998</v>
      </c>
      <c r="N142" s="29">
        <f>SUM(H142:M142)</f>
        <v>1367.3959659999998</v>
      </c>
      <c r="O142" s="30">
        <f t="shared" si="56"/>
        <v>1674.53361090309</v>
      </c>
      <c r="P142" s="31">
        <f t="shared" si="57"/>
        <v>1.144088444496659E-2</v>
      </c>
    </row>
    <row r="143" spans="2:16" ht="30" x14ac:dyDescent="0.25">
      <c r="B143" s="23">
        <v>11</v>
      </c>
      <c r="C143" s="24" t="s">
        <v>304</v>
      </c>
      <c r="D143" s="25" t="s">
        <v>305</v>
      </c>
      <c r="E143" s="25" t="s">
        <v>299</v>
      </c>
      <c r="F143" s="26">
        <v>2</v>
      </c>
      <c r="G143" s="27">
        <v>0.5</v>
      </c>
      <c r="H143" s="28">
        <f>F143 * G143 * 534.235744</f>
        <v>534.23574399999995</v>
      </c>
      <c r="I143" s="28">
        <f>F143 * G143 * 338.515064</f>
        <v>338.515064</v>
      </c>
      <c r="J143" s="28">
        <f>F143 * G143 * 0</f>
        <v>0</v>
      </c>
      <c r="K143" s="28">
        <f>F143 * G143 * 508.592429</f>
        <v>508.59242899999998</v>
      </c>
      <c r="L143" s="28">
        <f>F143 * G143 * 145.041039999999</f>
        <v>145.04103999999899</v>
      </c>
      <c r="M143" s="28">
        <f>F143 * G143 * 106.847149</f>
        <v>106.847149</v>
      </c>
      <c r="N143" s="29">
        <f>SUM(H143:M143)</f>
        <v>1633.2314259999989</v>
      </c>
      <c r="O143" s="30">
        <f t="shared" si="56"/>
        <v>2000.0797027509891</v>
      </c>
      <c r="P143" s="31">
        <f t="shared" si="57"/>
        <v>1.3665106875672905E-2</v>
      </c>
    </row>
    <row r="144" spans="2:16" ht="30" x14ac:dyDescent="0.25">
      <c r="B144" s="23">
        <v>12</v>
      </c>
      <c r="C144" s="24" t="s">
        <v>306</v>
      </c>
      <c r="D144" s="25" t="s">
        <v>307</v>
      </c>
      <c r="E144" s="25" t="s">
        <v>308</v>
      </c>
      <c r="F144" s="26">
        <v>2</v>
      </c>
      <c r="G144" s="27">
        <v>4</v>
      </c>
      <c r="H144" s="28">
        <f>F144 * G144 * 166.23552</f>
        <v>1329.8841600000001</v>
      </c>
      <c r="I144" s="28">
        <f>F144 * G144 * 0</f>
        <v>0</v>
      </c>
      <c r="J144" s="28">
        <f>F144 * G144 * 0</f>
        <v>0</v>
      </c>
      <c r="K144" s="28">
        <f>F144 * G144 * 158.256215</f>
        <v>1266.04972</v>
      </c>
      <c r="L144" s="28">
        <f>F144 * G144 * 34.071633</f>
        <v>272.57306399999999</v>
      </c>
      <c r="M144" s="28">
        <f>F144 * G144 * 33.247104</f>
        <v>265.976832</v>
      </c>
      <c r="N144" s="29">
        <f>SUM(H144:M144)</f>
        <v>3134.483776</v>
      </c>
      <c r="O144" s="30">
        <f t="shared" si="56"/>
        <v>3838.5358493462409</v>
      </c>
      <c r="P144" s="31">
        <f t="shared" si="57"/>
        <v>2.6225956173281963E-2</v>
      </c>
    </row>
    <row r="145" spans="2:16" x14ac:dyDescent="0.25">
      <c r="B145" s="33"/>
      <c r="C145" s="34" t="s">
        <v>309</v>
      </c>
      <c r="D145" s="96" t="s">
        <v>310</v>
      </c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</row>
    <row r="146" spans="2:16" ht="30" x14ac:dyDescent="0.25">
      <c r="B146" s="23">
        <v>13</v>
      </c>
      <c r="C146" s="24" t="s">
        <v>311</v>
      </c>
      <c r="D146" s="25" t="s">
        <v>312</v>
      </c>
      <c r="E146" s="25" t="s">
        <v>313</v>
      </c>
      <c r="F146" s="26">
        <v>1</v>
      </c>
      <c r="G146" s="27">
        <v>4</v>
      </c>
      <c r="H146" s="28">
        <f>F146 * G146 * 8.941184</f>
        <v>35.764735999999999</v>
      </c>
      <c r="I146" s="28">
        <f>F146 * G146 * 0</f>
        <v>0</v>
      </c>
      <c r="J146" s="28">
        <f>F146 * G146 * 0</f>
        <v>0</v>
      </c>
      <c r="K146" s="28">
        <f>F146 * G146 * 8.512008</f>
        <v>34.048031999999999</v>
      </c>
      <c r="L146" s="28">
        <f>F146 * G146 * 1.832585</f>
        <v>7.3303399999999996</v>
      </c>
      <c r="M146" s="28">
        <f>F146 * G146 * 1.788237</f>
        <v>7.1529480000000003</v>
      </c>
      <c r="N146" s="29">
        <f>SUM(H146:M146)</f>
        <v>84.296056000000007</v>
      </c>
      <c r="O146" s="30">
        <f t="shared" ref="O146:O149" si="58">N146*1.07*1.09*1.05</f>
        <v>103.23021461844002</v>
      </c>
      <c r="P146" s="31">
        <f t="shared" ref="P146:P149" si="59">IF($P$9&gt;0,O146/$P$9/12,0)</f>
        <v>7.0529785069033384E-4</v>
      </c>
    </row>
    <row r="147" spans="2:16" ht="30" x14ac:dyDescent="0.25">
      <c r="B147" s="23">
        <v>14</v>
      </c>
      <c r="C147" s="24" t="s">
        <v>314</v>
      </c>
      <c r="D147" s="25" t="s">
        <v>315</v>
      </c>
      <c r="E147" s="25" t="s">
        <v>283</v>
      </c>
      <c r="F147" s="26">
        <v>3</v>
      </c>
      <c r="G147" s="27">
        <v>1</v>
      </c>
      <c r="H147" s="28">
        <f>F147 * G147 * 12.556404</f>
        <v>37.669212000000002</v>
      </c>
      <c r="I147" s="28">
        <f>F147 * G147 * 0</f>
        <v>0</v>
      </c>
      <c r="J147" s="28">
        <f>F147 * G147 * 0</f>
        <v>0</v>
      </c>
      <c r="K147" s="28">
        <f>F147 * G147 * 11.953697</f>
        <v>35.861091000000002</v>
      </c>
      <c r="L147" s="28">
        <f>F147 * G147 * 2.573561</f>
        <v>7.7206830000000011</v>
      </c>
      <c r="M147" s="28">
        <f>F147 * G147 * 2.511281</f>
        <v>7.5338429999999992</v>
      </c>
      <c r="N147" s="29">
        <f>SUM(H147:M147)</f>
        <v>88.784829000000016</v>
      </c>
      <c r="O147" s="30">
        <f t="shared" si="58"/>
        <v>108.72723336583505</v>
      </c>
      <c r="P147" s="31">
        <f t="shared" si="59"/>
        <v>7.4285502832551061E-4</v>
      </c>
    </row>
    <row r="148" spans="2:16" x14ac:dyDescent="0.25">
      <c r="B148" s="23">
        <v>15</v>
      </c>
      <c r="C148" s="24" t="s">
        <v>316</v>
      </c>
      <c r="D148" s="25" t="s">
        <v>317</v>
      </c>
      <c r="E148" s="25" t="s">
        <v>294</v>
      </c>
      <c r="F148" s="26">
        <v>8</v>
      </c>
      <c r="G148" s="27">
        <v>1</v>
      </c>
      <c r="H148" s="28">
        <f>F148 * G148 * 50.225616</f>
        <v>401.80492800000002</v>
      </c>
      <c r="I148" s="28">
        <f>F148 * G148 * 0</f>
        <v>0</v>
      </c>
      <c r="J148" s="28">
        <f>F148 * G148 * 0</f>
        <v>0</v>
      </c>
      <c r="K148" s="28">
        <f>F148 * G148 * 47.814786</f>
        <v>382.51828799999998</v>
      </c>
      <c r="L148" s="28">
        <f>F148 * G148 * 10.294242</f>
        <v>82.353936000000004</v>
      </c>
      <c r="M148" s="28">
        <f>F148 * G148 * 10.045123</f>
        <v>80.360984000000002</v>
      </c>
      <c r="N148" s="29">
        <f>SUM(H148:M148)</f>
        <v>947.03813600000001</v>
      </c>
      <c r="O148" s="30">
        <f t="shared" si="58"/>
        <v>1159.7571069176402</v>
      </c>
      <c r="P148" s="31">
        <f t="shared" si="59"/>
        <v>7.9237866341288852E-3</v>
      </c>
    </row>
    <row r="149" spans="2:16" ht="45" x14ac:dyDescent="0.25">
      <c r="B149" s="23">
        <v>16</v>
      </c>
      <c r="C149" s="24" t="s">
        <v>318</v>
      </c>
      <c r="D149" s="25" t="s">
        <v>319</v>
      </c>
      <c r="E149" s="25" t="s">
        <v>320</v>
      </c>
      <c r="F149" s="26">
        <v>228</v>
      </c>
      <c r="G149" s="27">
        <v>1</v>
      </c>
      <c r="H149" s="28">
        <f>F149 * G149 * 3.587544</f>
        <v>817.96003199999996</v>
      </c>
      <c r="I149" s="28">
        <f>F149 * G149 * 0</f>
        <v>0</v>
      </c>
      <c r="J149" s="28">
        <f>F149 * G149 * 0</f>
        <v>0</v>
      </c>
      <c r="K149" s="28">
        <f>F149 * G149 * 3.415342</f>
        <v>778.69797599999993</v>
      </c>
      <c r="L149" s="28">
        <f>F149 * G149 * 0.735303</f>
        <v>167.64908400000002</v>
      </c>
      <c r="M149" s="28">
        <f>F149 * G149 * 0.717509</f>
        <v>163.592052</v>
      </c>
      <c r="N149" s="29">
        <f>SUM(H149:M149)</f>
        <v>1927.899144</v>
      </c>
      <c r="O149" s="30">
        <f t="shared" si="58"/>
        <v>2360.9342102295604</v>
      </c>
      <c r="P149" s="31">
        <f t="shared" si="59"/>
        <v>1.6130566329353942E-2</v>
      </c>
    </row>
    <row r="150" spans="2:16" x14ac:dyDescent="0.25">
      <c r="B150" s="33"/>
      <c r="C150" s="34" t="s">
        <v>321</v>
      </c>
      <c r="D150" s="98" t="s">
        <v>322</v>
      </c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</row>
    <row r="151" spans="2:16" ht="45" x14ac:dyDescent="0.25">
      <c r="B151" s="23">
        <v>17</v>
      </c>
      <c r="C151" s="24" t="s">
        <v>323</v>
      </c>
      <c r="D151" s="25" t="s">
        <v>324</v>
      </c>
      <c r="E151" s="25" t="s">
        <v>325</v>
      </c>
      <c r="F151" s="26">
        <v>1</v>
      </c>
      <c r="G151" s="27">
        <v>1</v>
      </c>
      <c r="H151" s="28">
        <f>F151 * G151 * 185.029632</f>
        <v>185.02963199999999</v>
      </c>
      <c r="I151" s="28">
        <f t="shared" ref="I151:I159" si="60">F151 * G151 * 0</f>
        <v>0</v>
      </c>
      <c r="J151" s="28">
        <f t="shared" ref="J151:J159" si="61">F151 * G151 * 0</f>
        <v>0</v>
      </c>
      <c r="K151" s="28">
        <f>F151 * G151 * 176.14821</f>
        <v>176.14821000000001</v>
      </c>
      <c r="L151" s="28">
        <f>F151 * G151 * 37.923673</f>
        <v>37.923673000000001</v>
      </c>
      <c r="M151" s="28">
        <f>F151 * G151 * 37.005926</f>
        <v>37.005926000000002</v>
      </c>
      <c r="N151" s="29">
        <f t="shared" ref="N151:N159" si="62">SUM(H151:M151)</f>
        <v>436.10744099999999</v>
      </c>
      <c r="O151" s="30">
        <f t="shared" ref="O151:O159" si="63">N151*1.07*1.09*1.05</f>
        <v>534.0637138602151</v>
      </c>
      <c r="P151" s="31">
        <f t="shared" ref="P151:P159" si="64">IF($P$9&gt;0,O151/$P$9/12,0)</f>
        <v>3.6488734515332673E-3</v>
      </c>
    </row>
    <row r="152" spans="2:16" ht="45" x14ac:dyDescent="0.25">
      <c r="B152" s="23">
        <v>18</v>
      </c>
      <c r="C152" s="24" t="s">
        <v>326</v>
      </c>
      <c r="D152" s="25" t="s">
        <v>327</v>
      </c>
      <c r="E152" s="25" t="s">
        <v>328</v>
      </c>
      <c r="F152" s="26">
        <v>1</v>
      </c>
      <c r="G152" s="27">
        <v>1</v>
      </c>
      <c r="H152" s="28">
        <f>F152 * G152 * 43.687552</f>
        <v>43.687551999999997</v>
      </c>
      <c r="I152" s="28">
        <f t="shared" si="60"/>
        <v>0</v>
      </c>
      <c r="J152" s="28">
        <f t="shared" si="61"/>
        <v>0</v>
      </c>
      <c r="K152" s="28">
        <f>F152 * G152 * 41.59055</f>
        <v>41.59055</v>
      </c>
      <c r="L152" s="28">
        <f>F152 * G152 * 8.954201</f>
        <v>8.9542009999999994</v>
      </c>
      <c r="M152" s="28">
        <f>F152 * G152 * 8.73751</f>
        <v>8.7375100000000003</v>
      </c>
      <c r="N152" s="29">
        <f t="shared" si="62"/>
        <v>102.96981299999999</v>
      </c>
      <c r="O152" s="30">
        <f t="shared" si="63"/>
        <v>126.09837754699501</v>
      </c>
      <c r="P152" s="31">
        <f t="shared" si="64"/>
        <v>8.6153956947743313E-4</v>
      </c>
    </row>
    <row r="153" spans="2:16" ht="45" x14ac:dyDescent="0.25">
      <c r="B153" s="23">
        <v>19</v>
      </c>
      <c r="C153" s="24" t="s">
        <v>329</v>
      </c>
      <c r="D153" s="25" t="s">
        <v>330</v>
      </c>
      <c r="E153" s="25" t="s">
        <v>328</v>
      </c>
      <c r="F153" s="26">
        <v>0.53</v>
      </c>
      <c r="G153" s="27">
        <v>1</v>
      </c>
      <c r="H153" s="28">
        <f>F153 * G153 * 56.536832</f>
        <v>29.964520960000002</v>
      </c>
      <c r="I153" s="28">
        <f t="shared" si="60"/>
        <v>0</v>
      </c>
      <c r="J153" s="28">
        <f t="shared" si="61"/>
        <v>0</v>
      </c>
      <c r="K153" s="28">
        <f>F153 * G153 * 53.823064</f>
        <v>28.526223920000003</v>
      </c>
      <c r="L153" s="28">
        <f>F153 * G153 * 11.587789</f>
        <v>6.1415281700000008</v>
      </c>
      <c r="M153" s="28">
        <f>F153 * G153 * 11.307366</f>
        <v>5.9929039800000004</v>
      </c>
      <c r="N153" s="29">
        <f t="shared" si="62"/>
        <v>70.625177030000003</v>
      </c>
      <c r="O153" s="30">
        <f t="shared" si="63"/>
        <v>86.488651168593464</v>
      </c>
      <c r="P153" s="31">
        <f t="shared" si="64"/>
        <v>5.9091478210894391E-4</v>
      </c>
    </row>
    <row r="154" spans="2:16" ht="45" x14ac:dyDescent="0.25">
      <c r="B154" s="23">
        <v>20</v>
      </c>
      <c r="C154" s="24" t="s">
        <v>331</v>
      </c>
      <c r="D154" s="25" t="s">
        <v>332</v>
      </c>
      <c r="E154" s="25" t="s">
        <v>328</v>
      </c>
      <c r="F154" s="26">
        <v>1.1000000000000001</v>
      </c>
      <c r="G154" s="27">
        <v>1</v>
      </c>
      <c r="H154" s="28">
        <f>F154 * G154 * 89.94496</f>
        <v>98.939456000000007</v>
      </c>
      <c r="I154" s="28">
        <f t="shared" si="60"/>
        <v>0</v>
      </c>
      <c r="J154" s="28">
        <f t="shared" si="61"/>
        <v>0</v>
      </c>
      <c r="K154" s="28">
        <f>F154 * G154 * 85.627602</f>
        <v>94.19036220000001</v>
      </c>
      <c r="L154" s="28">
        <f>F154 * G154 * 18.435119</f>
        <v>20.278630900000003</v>
      </c>
      <c r="M154" s="28">
        <f>F154 * G154 * 17.988992</f>
        <v>19.787891200000001</v>
      </c>
      <c r="N154" s="29">
        <f t="shared" si="62"/>
        <v>233.1963403</v>
      </c>
      <c r="O154" s="30">
        <f t="shared" si="63"/>
        <v>285.57573627648458</v>
      </c>
      <c r="P154" s="31">
        <f t="shared" si="64"/>
        <v>1.9511337232959237E-3</v>
      </c>
    </row>
    <row r="155" spans="2:16" x14ac:dyDescent="0.25">
      <c r="B155" s="23">
        <v>21</v>
      </c>
      <c r="C155" s="24" t="s">
        <v>333</v>
      </c>
      <c r="D155" s="25" t="s">
        <v>334</v>
      </c>
      <c r="E155" s="25" t="s">
        <v>335</v>
      </c>
      <c r="F155" s="26">
        <v>100.37</v>
      </c>
      <c r="G155" s="27">
        <v>1</v>
      </c>
      <c r="H155" s="28">
        <f>F155 * G155 * 10.279424</f>
        <v>1031.7457868800002</v>
      </c>
      <c r="I155" s="28">
        <f t="shared" si="60"/>
        <v>0</v>
      </c>
      <c r="J155" s="28">
        <f t="shared" si="61"/>
        <v>0</v>
      </c>
      <c r="K155" s="28">
        <f>F155 * G155 * 9.786012</f>
        <v>982.22202444000004</v>
      </c>
      <c r="L155" s="28">
        <f>F155 * G155 * 2.106871</f>
        <v>211.46664226999999</v>
      </c>
      <c r="M155" s="28">
        <f>F155 * G155 * 2.055885</f>
        <v>206.34917745000001</v>
      </c>
      <c r="N155" s="29">
        <f t="shared" si="62"/>
        <v>2431.7836310400003</v>
      </c>
      <c r="O155" s="30">
        <f t="shared" si="63"/>
        <v>2977.9987113260504</v>
      </c>
      <c r="P155" s="31">
        <f t="shared" si="64"/>
        <v>2.0346524495955632E-2</v>
      </c>
    </row>
    <row r="156" spans="2:16" ht="30" x14ac:dyDescent="0.25">
      <c r="B156" s="23">
        <v>22</v>
      </c>
      <c r="C156" s="24" t="s">
        <v>336</v>
      </c>
      <c r="D156" s="25" t="s">
        <v>337</v>
      </c>
      <c r="E156" s="25" t="s">
        <v>338</v>
      </c>
      <c r="F156" s="26">
        <v>0.6</v>
      </c>
      <c r="G156" s="27">
        <v>1</v>
      </c>
      <c r="H156" s="28">
        <f>F156 * G156 * 160.728948</f>
        <v>96.437368800000002</v>
      </c>
      <c r="I156" s="28">
        <f t="shared" si="60"/>
        <v>0</v>
      </c>
      <c r="J156" s="28">
        <f t="shared" si="61"/>
        <v>0</v>
      </c>
      <c r="K156" s="28">
        <f>F156 * G156 * 153.013958</f>
        <v>91.808374799999996</v>
      </c>
      <c r="L156" s="28">
        <f>F156 * G156 * 32.943006</f>
        <v>19.765803599999998</v>
      </c>
      <c r="M156" s="28">
        <f>F156 * G156 * 32.14579</f>
        <v>19.287474</v>
      </c>
      <c r="N156" s="29">
        <f t="shared" si="62"/>
        <v>227.2990212</v>
      </c>
      <c r="O156" s="30">
        <f t="shared" si="63"/>
        <v>278.35379084683802</v>
      </c>
      <c r="P156" s="31">
        <f t="shared" si="64"/>
        <v>1.9017913615837093E-3</v>
      </c>
    </row>
    <row r="157" spans="2:16" ht="30" x14ac:dyDescent="0.25">
      <c r="B157" s="23">
        <v>23</v>
      </c>
      <c r="C157" s="24" t="s">
        <v>339</v>
      </c>
      <c r="D157" s="25" t="s">
        <v>340</v>
      </c>
      <c r="E157" s="25" t="s">
        <v>341</v>
      </c>
      <c r="F157" s="26">
        <v>13</v>
      </c>
      <c r="G157" s="27">
        <v>1</v>
      </c>
      <c r="H157" s="28">
        <f>F157 * G157 * 33.52944</f>
        <v>435.88272000000001</v>
      </c>
      <c r="I157" s="28">
        <f t="shared" si="60"/>
        <v>0</v>
      </c>
      <c r="J157" s="28">
        <f t="shared" si="61"/>
        <v>0</v>
      </c>
      <c r="K157" s="28">
        <f>F157 * G157 * 31.920027</f>
        <v>414.960351</v>
      </c>
      <c r="L157" s="28">
        <f>F157 * G157 * 6.87219399999999</f>
        <v>89.33852199999987</v>
      </c>
      <c r="M157" s="28">
        <f>F157 * G157 * 6.705888</f>
        <v>87.176543999999993</v>
      </c>
      <c r="N157" s="29">
        <f t="shared" si="62"/>
        <v>1027.3581369999999</v>
      </c>
      <c r="O157" s="30">
        <f t="shared" si="63"/>
        <v>1258.1181849422551</v>
      </c>
      <c r="P157" s="31">
        <f t="shared" si="64"/>
        <v>8.5958171745938554E-3</v>
      </c>
    </row>
    <row r="158" spans="2:16" x14ac:dyDescent="0.25">
      <c r="B158" s="23">
        <v>24</v>
      </c>
      <c r="C158" s="24" t="s">
        <v>342</v>
      </c>
      <c r="D158" s="25" t="s">
        <v>343</v>
      </c>
      <c r="E158" s="25" t="s">
        <v>344</v>
      </c>
      <c r="F158" s="26">
        <v>13</v>
      </c>
      <c r="G158" s="27">
        <v>1</v>
      </c>
      <c r="H158" s="28">
        <f>F158 * G158 * 17.190264</f>
        <v>223.473432</v>
      </c>
      <c r="I158" s="28">
        <f t="shared" si="60"/>
        <v>0</v>
      </c>
      <c r="J158" s="28">
        <f t="shared" si="61"/>
        <v>0</v>
      </c>
      <c r="K158" s="28">
        <f>F158 * G158 * 16.365132</f>
        <v>212.74671599999999</v>
      </c>
      <c r="L158" s="28">
        <f>F158 * G158 * 3.523317</f>
        <v>45.803120999999997</v>
      </c>
      <c r="M158" s="28">
        <f>F158 * G158 * 3.438053</f>
        <v>44.694688999999997</v>
      </c>
      <c r="N158" s="29">
        <f t="shared" si="62"/>
        <v>526.71795799999995</v>
      </c>
      <c r="O158" s="30">
        <f t="shared" si="63"/>
        <v>645.02671213617009</v>
      </c>
      <c r="P158" s="31">
        <f t="shared" si="64"/>
        <v>4.4070038543369281E-3</v>
      </c>
    </row>
    <row r="159" spans="2:16" ht="30" x14ac:dyDescent="0.25">
      <c r="B159" s="23">
        <v>25</v>
      </c>
      <c r="C159" s="24"/>
      <c r="D159" s="25" t="s">
        <v>345</v>
      </c>
      <c r="E159" s="25" t="s">
        <v>320</v>
      </c>
      <c r="F159" s="26">
        <v>228</v>
      </c>
      <c r="G159" s="27">
        <v>0.2</v>
      </c>
      <c r="H159" s="28">
        <f>300*F159*G159</f>
        <v>13680</v>
      </c>
      <c r="I159" s="28">
        <f t="shared" si="60"/>
        <v>0</v>
      </c>
      <c r="J159" s="28">
        <f t="shared" si="61"/>
        <v>0</v>
      </c>
      <c r="K159" s="28"/>
      <c r="L159" s="28"/>
      <c r="M159" s="28"/>
      <c r="N159" s="29">
        <f t="shared" si="62"/>
        <v>13680</v>
      </c>
      <c r="O159" s="30">
        <f t="shared" si="63"/>
        <v>16752.733200000002</v>
      </c>
      <c r="P159" s="31">
        <f t="shared" si="64"/>
        <v>0.11445938345494795</v>
      </c>
    </row>
    <row r="160" spans="2:16" ht="14.25" customHeight="1" x14ac:dyDescent="0.25">
      <c r="B160" s="97" t="s">
        <v>30</v>
      </c>
      <c r="C160" s="97"/>
      <c r="D160" s="97"/>
      <c r="E160" s="97"/>
      <c r="F160" s="97"/>
      <c r="G160" s="97"/>
      <c r="H160" s="36">
        <f t="shared" ref="H160:P160" si="65">SUM(H127:H159)</f>
        <v>23233.093244479998</v>
      </c>
      <c r="I160" s="36">
        <f t="shared" si="65"/>
        <v>6520.6550344720008</v>
      </c>
      <c r="J160" s="36">
        <f t="shared" si="65"/>
        <v>0</v>
      </c>
      <c r="K160" s="36">
        <f t="shared" si="65"/>
        <v>9094.5448433039928</v>
      </c>
      <c r="L160" s="36">
        <f t="shared" si="65"/>
        <v>2642.6708075319984</v>
      </c>
      <c r="M160" s="36">
        <f t="shared" si="65"/>
        <v>1910.6187125979998</v>
      </c>
      <c r="N160" s="36">
        <f t="shared" si="65"/>
        <v>43401.582642385991</v>
      </c>
      <c r="O160" s="38">
        <f>SUM(O151:O159,O146:O149,O140:O144,O138,O133:O136,O130:O131)</f>
        <v>53150.229127605518</v>
      </c>
      <c r="P160" s="37">
        <f t="shared" si="65"/>
        <v>0.36313730922635029</v>
      </c>
    </row>
    <row r="161" spans="2:16" x14ac:dyDescent="0.25">
      <c r="B161" s="92" t="s">
        <v>1031</v>
      </c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3"/>
      <c r="N161" s="93"/>
      <c r="O161" s="16"/>
      <c r="P161" s="17"/>
    </row>
    <row r="162" spans="2:16" x14ac:dyDescent="0.25">
      <c r="B162" s="92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4"/>
      <c r="N162" s="94"/>
      <c r="O162" s="18"/>
      <c r="P162" s="19"/>
    </row>
    <row r="163" spans="2:16" ht="13.5" customHeight="1" x14ac:dyDescent="0.25">
      <c r="B163" s="21"/>
      <c r="C163" s="22" t="s">
        <v>346</v>
      </c>
      <c r="D163" s="95" t="s">
        <v>347</v>
      </c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</row>
    <row r="164" spans="2:16" x14ac:dyDescent="0.25">
      <c r="B164" s="33"/>
      <c r="C164" s="34" t="s">
        <v>348</v>
      </c>
      <c r="D164" s="96" t="s">
        <v>349</v>
      </c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</row>
    <row r="165" spans="2:16" x14ac:dyDescent="0.25">
      <c r="B165" s="33"/>
      <c r="C165" s="34" t="s">
        <v>350</v>
      </c>
      <c r="D165" s="98" t="s">
        <v>351</v>
      </c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</row>
    <row r="166" spans="2:16" x14ac:dyDescent="0.25">
      <c r="B166" s="23">
        <v>1</v>
      </c>
      <c r="C166" s="24" t="s">
        <v>352</v>
      </c>
      <c r="D166" s="25" t="s">
        <v>353</v>
      </c>
      <c r="E166" s="25" t="s">
        <v>354</v>
      </c>
      <c r="F166" s="26">
        <v>6.84</v>
      </c>
      <c r="G166" s="27">
        <v>1</v>
      </c>
      <c r="H166" s="28">
        <f>F166 * G166 * 3182.151528</f>
        <v>21765.916451519999</v>
      </c>
      <c r="I166" s="28">
        <f>F166 * G166 * 492.92084</f>
        <v>3371.5785455999999</v>
      </c>
      <c r="J166" s="28">
        <f>F166 * G166 * 0</f>
        <v>0</v>
      </c>
      <c r="K166" s="28">
        <f>F166 * G166 * 3029.408254</f>
        <v>20721.15245736</v>
      </c>
      <c r="L166" s="28">
        <f>F166 * G166 * 703.970465</f>
        <v>4815.1579806</v>
      </c>
      <c r="M166" s="28">
        <f>F166 * G166 * 636.430306</f>
        <v>4353.1832930399996</v>
      </c>
      <c r="N166" s="29">
        <f>SUM(H166:M166)</f>
        <v>55026.988728119999</v>
      </c>
      <c r="O166" s="30">
        <f t="shared" ref="O166" si="66">N166*1.07*1.09*1.05</f>
        <v>67386.875801286689</v>
      </c>
      <c r="P166" s="31">
        <f>IF($P$9&gt;0,O166/$P$9/12,0)</f>
        <v>0.46040608210548145</v>
      </c>
    </row>
    <row r="167" spans="2:16" x14ac:dyDescent="0.25">
      <c r="B167" s="33"/>
      <c r="C167" s="34" t="s">
        <v>355</v>
      </c>
      <c r="D167" s="96" t="s">
        <v>356</v>
      </c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</row>
    <row r="168" spans="2:16" x14ac:dyDescent="0.25">
      <c r="B168" s="33"/>
      <c r="C168" s="34" t="s">
        <v>357</v>
      </c>
      <c r="D168" s="98" t="s">
        <v>358</v>
      </c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</row>
    <row r="169" spans="2:16" ht="30" x14ac:dyDescent="0.25">
      <c r="B169" s="23">
        <v>2</v>
      </c>
      <c r="C169" s="24" t="s">
        <v>359</v>
      </c>
      <c r="D169" s="25" t="s">
        <v>360</v>
      </c>
      <c r="E169" s="25" t="s">
        <v>361</v>
      </c>
      <c r="F169" s="26">
        <v>0.04</v>
      </c>
      <c r="G169" s="27">
        <v>1</v>
      </c>
      <c r="H169" s="28">
        <f>F169 * G169 * 120669.738096</f>
        <v>4826.7895238400006</v>
      </c>
      <c r="I169" s="28">
        <f>F169 * G169 * 61406.866008</f>
        <v>2456.2746403199999</v>
      </c>
      <c r="J169" s="28">
        <f>F169 * G169 * 668.635116</f>
        <v>26.745404640000004</v>
      </c>
      <c r="K169" s="28">
        <f>F169 * G169 * 115465.191118</f>
        <v>4618.6076447200003</v>
      </c>
      <c r="L169" s="28">
        <f>F169 * G169 * 31312.095186</f>
        <v>1252.48380744</v>
      </c>
      <c r="M169" s="28">
        <f>F169 * G169 * 24257.393092</f>
        <v>970.29572367999992</v>
      </c>
      <c r="N169" s="29">
        <f>SUM(H169:M169)</f>
        <v>14151.196744639999</v>
      </c>
      <c r="O169" s="30">
        <f t="shared" ref="O169" si="67">N169*1.07*1.09*1.05</f>
        <v>17329.767801437316</v>
      </c>
      <c r="P169" s="31">
        <f>IF($P$9&gt;0,O169/$P$9/12,0)</f>
        <v>0.11840184609219012</v>
      </c>
    </row>
    <row r="170" spans="2:16" ht="12.75" customHeight="1" x14ac:dyDescent="0.25">
      <c r="B170" s="21"/>
      <c r="C170" s="22" t="s">
        <v>19</v>
      </c>
      <c r="D170" s="95" t="s">
        <v>20</v>
      </c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</row>
    <row r="171" spans="2:16" x14ac:dyDescent="0.25">
      <c r="B171" s="33"/>
      <c r="C171" s="34" t="s">
        <v>24</v>
      </c>
      <c r="D171" s="96" t="s">
        <v>25</v>
      </c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</row>
    <row r="172" spans="2:16" ht="30" x14ac:dyDescent="0.25">
      <c r="B172" s="23">
        <v>3</v>
      </c>
      <c r="C172" s="24" t="s">
        <v>26</v>
      </c>
      <c r="D172" s="25" t="s">
        <v>27</v>
      </c>
      <c r="E172" s="25" t="s">
        <v>23</v>
      </c>
      <c r="F172" s="26">
        <v>12.196999999999999</v>
      </c>
      <c r="G172" s="27">
        <v>2</v>
      </c>
      <c r="H172" s="28">
        <f>F172 * G172 * 833.40936</f>
        <v>20330.187927839997</v>
      </c>
      <c r="I172" s="28">
        <f>F172 * G172 * 0</f>
        <v>0</v>
      </c>
      <c r="J172" s="28">
        <f>F172 * G172 * 0</f>
        <v>0</v>
      </c>
      <c r="K172" s="28">
        <f>F172 * G172 * 793.405711</f>
        <v>19354.338914133998</v>
      </c>
      <c r="L172" s="28">
        <f>F172 * G172 * 170.815582</f>
        <v>4166.8753073079997</v>
      </c>
      <c r="M172" s="28">
        <f>F172 * G172 * 166.681872</f>
        <v>4066.0375855679995</v>
      </c>
      <c r="N172" s="29">
        <f>SUM(H172:M172)</f>
        <v>47917.439734849992</v>
      </c>
      <c r="O172" s="30">
        <f t="shared" ref="O172:O173" si="68">N172*1.07*1.09*1.05</f>
        <v>58680.415460893331</v>
      </c>
      <c r="P172" s="31">
        <f t="shared" ref="P172:P173" si="69">IF($P$9&gt;0,O172/$P$9/12,0)</f>
        <v>0.40092109713381247</v>
      </c>
    </row>
    <row r="173" spans="2:16" ht="45" x14ac:dyDescent="0.25">
      <c r="B173" s="23">
        <v>4</v>
      </c>
      <c r="C173" s="24" t="s">
        <v>28</v>
      </c>
      <c r="D173" s="25" t="s">
        <v>29</v>
      </c>
      <c r="E173" s="25" t="s">
        <v>23</v>
      </c>
      <c r="F173" s="26">
        <v>12.196999999999999</v>
      </c>
      <c r="G173" s="27">
        <v>4</v>
      </c>
      <c r="H173" s="28">
        <f>F173 * G173 * 833.40936</f>
        <v>40660.375855679995</v>
      </c>
      <c r="I173" s="28">
        <f>F173 * G173 * 0</f>
        <v>0</v>
      </c>
      <c r="J173" s="28">
        <f>F173 * G173 * 0</f>
        <v>0</v>
      </c>
      <c r="K173" s="28">
        <f>F173 * G173 * 793.405711</f>
        <v>38708.677828267995</v>
      </c>
      <c r="L173" s="28">
        <f>F173 * G173 * 170.815582</f>
        <v>8333.7506146159994</v>
      </c>
      <c r="M173" s="28">
        <f>F173 * G173 * 166.681872</f>
        <v>8132.075171135999</v>
      </c>
      <c r="N173" s="29">
        <f>SUM(H173:M173)</f>
        <v>95834.879469699983</v>
      </c>
      <c r="O173" s="30">
        <f t="shared" si="68"/>
        <v>117360.83092178666</v>
      </c>
      <c r="P173" s="31">
        <f t="shared" si="69"/>
        <v>0.80184219426762493</v>
      </c>
    </row>
    <row r="174" spans="2:16" ht="14.25" customHeight="1" x14ac:dyDescent="0.25">
      <c r="B174" s="97" t="s">
        <v>30</v>
      </c>
      <c r="C174" s="97"/>
      <c r="D174" s="97"/>
      <c r="E174" s="97"/>
      <c r="F174" s="97"/>
      <c r="G174" s="97"/>
      <c r="H174" s="36">
        <f t="shared" ref="H174:P174" si="70">SUM(H163:H173)</f>
        <v>87583.269758879993</v>
      </c>
      <c r="I174" s="36">
        <f t="shared" si="70"/>
        <v>5827.8531859199993</v>
      </c>
      <c r="J174" s="36">
        <f t="shared" si="70"/>
        <v>26.745404640000004</v>
      </c>
      <c r="K174" s="36">
        <f t="shared" si="70"/>
        <v>83402.776844481996</v>
      </c>
      <c r="L174" s="36">
        <f t="shared" si="70"/>
        <v>18568.267709963999</v>
      </c>
      <c r="M174" s="36">
        <f t="shared" si="70"/>
        <v>17521.591773423999</v>
      </c>
      <c r="N174" s="36">
        <f t="shared" si="70"/>
        <v>212930.50467730997</v>
      </c>
      <c r="O174" s="38">
        <f>SUM(O172:O173,O169,O166)</f>
        <v>260757.88998540401</v>
      </c>
      <c r="P174" s="37">
        <f t="shared" si="70"/>
        <v>1.7815712195991091</v>
      </c>
    </row>
    <row r="175" spans="2:16" x14ac:dyDescent="0.25">
      <c r="B175" s="92" t="s">
        <v>1032</v>
      </c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3"/>
      <c r="N175" s="93"/>
      <c r="O175" s="16"/>
      <c r="P175" s="17"/>
    </row>
    <row r="176" spans="2:16" x14ac:dyDescent="0.25">
      <c r="B176" s="92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4"/>
      <c r="N176" s="94"/>
      <c r="O176" s="18"/>
      <c r="P176" s="19"/>
    </row>
    <row r="177" spans="2:16" ht="13.5" customHeight="1" x14ac:dyDescent="0.25">
      <c r="B177" s="21"/>
      <c r="C177" s="22" t="s">
        <v>362</v>
      </c>
      <c r="D177" s="95" t="s">
        <v>363</v>
      </c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</row>
    <row r="178" spans="2:16" x14ac:dyDescent="0.25">
      <c r="B178" s="33"/>
      <c r="C178" s="34" t="s">
        <v>364</v>
      </c>
      <c r="D178" s="96" t="s">
        <v>365</v>
      </c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</row>
    <row r="179" spans="2:16" x14ac:dyDescent="0.25">
      <c r="B179" s="33"/>
      <c r="C179" s="34" t="s">
        <v>366</v>
      </c>
      <c r="D179" s="98" t="s">
        <v>367</v>
      </c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</row>
    <row r="180" spans="2:16" ht="45" x14ac:dyDescent="0.25">
      <c r="B180" s="23">
        <v>1</v>
      </c>
      <c r="C180" s="24" t="s">
        <v>368</v>
      </c>
      <c r="D180" s="25" t="s">
        <v>369</v>
      </c>
      <c r="E180" s="25" t="s">
        <v>370</v>
      </c>
      <c r="F180" s="26">
        <v>8</v>
      </c>
      <c r="G180" s="27">
        <v>5</v>
      </c>
      <c r="H180" s="28">
        <f>F180 * G180 * 483.132928</f>
        <v>19325.31712</v>
      </c>
      <c r="I180" s="28">
        <f>F180 * G180 * 0</f>
        <v>0</v>
      </c>
      <c r="J180" s="28">
        <f>F180 * G180 * 0</f>
        <v>0</v>
      </c>
      <c r="K180" s="28">
        <f>F180 * G180 * 459.942547</f>
        <v>18397.701880000001</v>
      </c>
      <c r="L180" s="28">
        <f>F180 * G180 * 99.022925</f>
        <v>3960.9169999999999</v>
      </c>
      <c r="M180" s="28">
        <f>F180 * G180 * 96.626586</f>
        <v>3865.0634399999999</v>
      </c>
      <c r="N180" s="29">
        <f>SUM(H180:M180)</f>
        <v>45548.99944</v>
      </c>
      <c r="O180" s="30">
        <f t="shared" ref="O180:O181" si="71">N180*1.07*1.09*1.05</f>
        <v>55779.987949215611</v>
      </c>
      <c r="P180" s="31">
        <f t="shared" ref="P180:P181" si="72">IF($P$9&gt;0,O180/$P$9/12,0)</f>
        <v>0.38110456088393052</v>
      </c>
    </row>
    <row r="181" spans="2:16" x14ac:dyDescent="0.25">
      <c r="B181" s="23">
        <v>2</v>
      </c>
      <c r="C181" s="24" t="s">
        <v>371</v>
      </c>
      <c r="D181" s="25" t="s">
        <v>372</v>
      </c>
      <c r="E181" s="25" t="s">
        <v>373</v>
      </c>
      <c r="F181" s="26">
        <v>12.196999999999999</v>
      </c>
      <c r="G181" s="27">
        <v>6</v>
      </c>
      <c r="H181" s="28">
        <f>F181 * G181 * 99.2154</f>
        <v>7260.7814027999993</v>
      </c>
      <c r="I181" s="28">
        <f>F181 * G181 * 0</f>
        <v>0</v>
      </c>
      <c r="J181" s="28">
        <f>F181 * G181 * 0</f>
        <v>0</v>
      </c>
      <c r="K181" s="28">
        <f>F181 * G181 * 94.4530609999999</f>
        <v>6912.2639101019922</v>
      </c>
      <c r="L181" s="28">
        <f>F181 * G181 * 20.335188</f>
        <v>1488.1697282159996</v>
      </c>
      <c r="M181" s="28">
        <f>F181 * G181 * 19.84308</f>
        <v>1452.1562805599997</v>
      </c>
      <c r="N181" s="29">
        <f>SUM(H181:M181)</f>
        <v>17113.371321677991</v>
      </c>
      <c r="O181" s="30">
        <f t="shared" si="71"/>
        <v>20957.291221096697</v>
      </c>
      <c r="P181" s="31">
        <f t="shared" si="72"/>
        <v>0.14318610601716744</v>
      </c>
    </row>
    <row r="182" spans="2:16" x14ac:dyDescent="0.25">
      <c r="B182" s="33"/>
      <c r="C182" s="34" t="s">
        <v>374</v>
      </c>
      <c r="D182" s="96" t="s">
        <v>375</v>
      </c>
      <c r="E182" s="96"/>
      <c r="F182" s="96"/>
      <c r="G182" s="96"/>
      <c r="H182" s="96"/>
      <c r="I182" s="96"/>
      <c r="J182" s="96"/>
      <c r="K182" s="96"/>
      <c r="L182" s="96"/>
      <c r="M182" s="96"/>
      <c r="N182" s="96"/>
      <c r="O182" s="96"/>
      <c r="P182" s="96"/>
    </row>
    <row r="183" spans="2:16" x14ac:dyDescent="0.25">
      <c r="B183" s="23">
        <v>3</v>
      </c>
      <c r="C183" s="24" t="s">
        <v>376</v>
      </c>
      <c r="D183" s="25" t="s">
        <v>377</v>
      </c>
      <c r="E183" s="25" t="s">
        <v>370</v>
      </c>
      <c r="F183" s="26">
        <v>8</v>
      </c>
      <c r="G183" s="27">
        <v>6</v>
      </c>
      <c r="H183" s="28">
        <f>F183 * G183 * 327.41082</f>
        <v>15715.719359999999</v>
      </c>
      <c r="I183" s="28">
        <f>F183 * G183 * 79.797173</f>
        <v>3830.2643040000003</v>
      </c>
      <c r="J183" s="28">
        <f>F183 * G183 * 0</f>
        <v>0</v>
      </c>
      <c r="K183" s="28">
        <f>F183 * G183 * 311.695101</f>
        <v>14961.364848000001</v>
      </c>
      <c r="L183" s="28">
        <f>F183 * G183 * 75.484824</f>
        <v>3623.2715520000002</v>
      </c>
      <c r="M183" s="28">
        <f>F183 * G183 * 65.482164</f>
        <v>3143.1438719999996</v>
      </c>
      <c r="N183" s="29">
        <f>SUM(H183:M183)</f>
        <v>41273.763935999996</v>
      </c>
      <c r="O183" s="30">
        <f t="shared" ref="O183" si="73">N183*1.07*1.09*1.05</f>
        <v>50544.470422484635</v>
      </c>
      <c r="P183" s="31">
        <f>IF($P$9&gt;0,O183/$P$9/12,0)</f>
        <v>0.34533403311254568</v>
      </c>
    </row>
    <row r="184" spans="2:16" ht="14.25" customHeight="1" x14ac:dyDescent="0.25">
      <c r="B184" s="97" t="s">
        <v>30</v>
      </c>
      <c r="C184" s="97"/>
      <c r="D184" s="97"/>
      <c r="E184" s="97"/>
      <c r="F184" s="97"/>
      <c r="G184" s="97"/>
      <c r="H184" s="36">
        <f t="shared" ref="H184:P184" si="74">SUM(H177:H183)</f>
        <v>42301.817882799995</v>
      </c>
      <c r="I184" s="36">
        <f t="shared" si="74"/>
        <v>3830.2643040000003</v>
      </c>
      <c r="J184" s="36">
        <f t="shared" si="74"/>
        <v>0</v>
      </c>
      <c r="K184" s="36">
        <f t="shared" si="74"/>
        <v>40271.330638101994</v>
      </c>
      <c r="L184" s="36">
        <f t="shared" si="74"/>
        <v>9072.3582802159999</v>
      </c>
      <c r="M184" s="36">
        <f t="shared" si="74"/>
        <v>8460.3635925599992</v>
      </c>
      <c r="N184" s="36">
        <f t="shared" si="74"/>
        <v>103936.13469767798</v>
      </c>
      <c r="O184" s="38">
        <f>SUM(O183,O180:O181)</f>
        <v>127281.74959279696</v>
      </c>
      <c r="P184" s="37">
        <f t="shared" si="74"/>
        <v>0.86962470001364367</v>
      </c>
    </row>
    <row r="185" spans="2:16" x14ac:dyDescent="0.25">
      <c r="B185" s="92" t="s">
        <v>1033</v>
      </c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3"/>
      <c r="N185" s="93"/>
      <c r="O185" s="16"/>
      <c r="P185" s="17"/>
    </row>
    <row r="186" spans="2:16" x14ac:dyDescent="0.25">
      <c r="B186" s="92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4"/>
      <c r="N186" s="94"/>
      <c r="O186" s="18"/>
      <c r="P186" s="19"/>
    </row>
    <row r="187" spans="2:16" ht="13.5" customHeight="1" x14ac:dyDescent="0.25">
      <c r="B187" s="21"/>
      <c r="C187" s="22" t="s">
        <v>378</v>
      </c>
      <c r="D187" s="95" t="s">
        <v>379</v>
      </c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</row>
    <row r="188" spans="2:16" x14ac:dyDescent="0.25">
      <c r="B188" s="23">
        <v>1</v>
      </c>
      <c r="C188" s="24" t="s">
        <v>380</v>
      </c>
      <c r="D188" s="25" t="s">
        <v>381</v>
      </c>
      <c r="E188" s="25" t="s">
        <v>382</v>
      </c>
      <c r="F188" s="26">
        <v>1</v>
      </c>
      <c r="G188" s="27">
        <v>0.5</v>
      </c>
      <c r="H188" s="28">
        <f>F188 * G188 * 489.179352</f>
        <v>244.589676</v>
      </c>
      <c r="I188" s="28">
        <f>F188 * G188 * 0</f>
        <v>0</v>
      </c>
      <c r="J188" s="28">
        <f t="shared" ref="J188:J193" si="75">F188 * G188 * 0</f>
        <v>0</v>
      </c>
      <c r="K188" s="28">
        <f>F188 * G188 * 465.698743</f>
        <v>232.84937149999999</v>
      </c>
      <c r="L188" s="28">
        <f>F188 * G188 * 100.262199999999</f>
        <v>50.131099999999499</v>
      </c>
      <c r="M188" s="28">
        <f>F188 * G188 * 97.83587</f>
        <v>48.917935</v>
      </c>
      <c r="N188" s="29">
        <f t="shared" ref="N188:N193" si="76">SUM(H188:M188)</f>
        <v>576.48808249999956</v>
      </c>
      <c r="O188" s="30">
        <f t="shared" ref="O188:O193" si="77">N188*1.07*1.09*1.05</f>
        <v>705.97595315073704</v>
      </c>
      <c r="P188" s="31">
        <f t="shared" ref="P188:P193" si="78">IF($P$9&gt;0,O188/$P$9/12,0)</f>
        <v>4.8234262055610469E-3</v>
      </c>
    </row>
    <row r="189" spans="2:16" ht="30" x14ac:dyDescent="0.25">
      <c r="B189" s="23">
        <v>2</v>
      </c>
      <c r="C189" s="24" t="s">
        <v>383</v>
      </c>
      <c r="D189" s="25" t="s">
        <v>384</v>
      </c>
      <c r="E189" s="25" t="s">
        <v>385</v>
      </c>
      <c r="F189" s="26">
        <v>0.03</v>
      </c>
      <c r="G189" s="27">
        <v>2</v>
      </c>
      <c r="H189" s="28">
        <f>F189 * G189 * 9165.518652</f>
        <v>549.93111912000006</v>
      </c>
      <c r="I189" s="28">
        <f>F189 * G189 * 21283.214544</f>
        <v>1276.9928726399999</v>
      </c>
      <c r="J189" s="28">
        <f t="shared" si="75"/>
        <v>0</v>
      </c>
      <c r="K189" s="28">
        <f>F189 * G189 * 8725.573757</f>
        <v>523.53442541999993</v>
      </c>
      <c r="L189" s="28">
        <f>F189 * G189 * 4113.30223</f>
        <v>246.79813380000002</v>
      </c>
      <c r="M189" s="28">
        <f>F189 * G189 * 1833.10373</f>
        <v>109.9862238</v>
      </c>
      <c r="N189" s="29">
        <f t="shared" si="76"/>
        <v>2707.2427747799998</v>
      </c>
      <c r="O189" s="30">
        <f t="shared" si="77"/>
        <v>3315.3301106372105</v>
      </c>
      <c r="P189" s="31">
        <f t="shared" si="78"/>
        <v>2.2651267460831973E-2</v>
      </c>
    </row>
    <row r="190" spans="2:16" x14ac:dyDescent="0.25">
      <c r="B190" s="23">
        <v>3</v>
      </c>
      <c r="C190" s="24" t="s">
        <v>386</v>
      </c>
      <c r="D190" s="25" t="s">
        <v>387</v>
      </c>
      <c r="E190" s="25" t="s">
        <v>388</v>
      </c>
      <c r="F190" s="26">
        <v>2</v>
      </c>
      <c r="G190" s="27">
        <v>2</v>
      </c>
      <c r="H190" s="28">
        <f>F190 * G190 * 664.79622</f>
        <v>2659.1848799999998</v>
      </c>
      <c r="I190" s="28">
        <f>F190 * G190 * 1081.114906</f>
        <v>4324.4596240000001</v>
      </c>
      <c r="J190" s="28">
        <f t="shared" si="75"/>
        <v>0</v>
      </c>
      <c r="K190" s="28">
        <f>F190 * G190 * 632.886001</f>
        <v>2531.5440039999999</v>
      </c>
      <c r="L190" s="28">
        <f>F190 * G190 * 249.773699</f>
        <v>999.09479599999997</v>
      </c>
      <c r="M190" s="28">
        <f>F190 * G190 * 132.959244</f>
        <v>531.83697600000005</v>
      </c>
      <c r="N190" s="29">
        <f t="shared" si="76"/>
        <v>11046.120279999999</v>
      </c>
      <c r="O190" s="30">
        <f t="shared" si="77"/>
        <v>13527.244586692201</v>
      </c>
      <c r="P190" s="31">
        <f t="shared" si="78"/>
        <v>9.2421938363888664E-2</v>
      </c>
    </row>
    <row r="191" spans="2:16" x14ac:dyDescent="0.25">
      <c r="B191" s="23">
        <v>4</v>
      </c>
      <c r="C191" s="24" t="s">
        <v>389</v>
      </c>
      <c r="D191" s="25" t="s">
        <v>390</v>
      </c>
      <c r="E191" s="25" t="s">
        <v>391</v>
      </c>
      <c r="F191" s="26">
        <v>0.28000000000000003</v>
      </c>
      <c r="G191" s="27">
        <v>1</v>
      </c>
      <c r="H191" s="28">
        <f>F191 * G191 * 7331.75082</f>
        <v>2052.8902296000001</v>
      </c>
      <c r="I191" s="28">
        <f>F191 * G191 * 46282.06701</f>
        <v>12958.978762800001</v>
      </c>
      <c r="J191" s="28">
        <f t="shared" si="75"/>
        <v>0</v>
      </c>
      <c r="K191" s="28">
        <f>F191 * G191 * 6979.826781</f>
        <v>1954.3514986800001</v>
      </c>
      <c r="L191" s="28">
        <f>F191 * G191 * 6362.332684</f>
        <v>1781.4531515200001</v>
      </c>
      <c r="M191" s="28">
        <f>F191 * G191 * 1466.350164</f>
        <v>410.57804592000002</v>
      </c>
      <c r="N191" s="29">
        <f t="shared" si="76"/>
        <v>19158.251688519998</v>
      </c>
      <c r="O191" s="30">
        <f t="shared" si="77"/>
        <v>23461.48239153692</v>
      </c>
      <c r="P191" s="31">
        <f t="shared" si="78"/>
        <v>0.16029544417709901</v>
      </c>
    </row>
    <row r="192" spans="2:16" ht="45" x14ac:dyDescent="0.25">
      <c r="B192" s="23">
        <v>5</v>
      </c>
      <c r="C192" s="24" t="s">
        <v>392</v>
      </c>
      <c r="D192" s="25" t="s">
        <v>393</v>
      </c>
      <c r="E192" s="25" t="s">
        <v>147</v>
      </c>
      <c r="F192" s="26">
        <v>0.06</v>
      </c>
      <c r="G192" s="27">
        <v>1</v>
      </c>
      <c r="H192" s="28">
        <f>F192 * G192 * 12788.86506</f>
        <v>767.33190360000003</v>
      </c>
      <c r="I192" s="28">
        <f>F192 * G192 * 11027.597141</f>
        <v>661.65582845999995</v>
      </c>
      <c r="J192" s="28">
        <f t="shared" si="75"/>
        <v>0</v>
      </c>
      <c r="K192" s="28">
        <f>F192 * G192 * 12174.999537</f>
        <v>730.4999722199999</v>
      </c>
      <c r="L192" s="28">
        <f>F192 * G192 * 3779.103483</f>
        <v>226.74620897999998</v>
      </c>
      <c r="M192" s="28">
        <f>F192 * G192 * 2557.773012</f>
        <v>153.46638071999999</v>
      </c>
      <c r="N192" s="29">
        <f t="shared" si="76"/>
        <v>2539.70029398</v>
      </c>
      <c r="O192" s="30">
        <f t="shared" si="77"/>
        <v>3110.155075512318</v>
      </c>
      <c r="P192" s="31">
        <f t="shared" si="78"/>
        <v>2.1249453933428423E-2</v>
      </c>
    </row>
    <row r="193" spans="2:16" x14ac:dyDescent="0.25">
      <c r="B193" s="23">
        <v>6</v>
      </c>
      <c r="C193" s="24" t="s">
        <v>394</v>
      </c>
      <c r="D193" s="25" t="s">
        <v>395</v>
      </c>
      <c r="E193" s="25" t="s">
        <v>396</v>
      </c>
      <c r="F193" s="26">
        <v>12</v>
      </c>
      <c r="G193" s="27">
        <v>1</v>
      </c>
      <c r="H193" s="28">
        <f>F193 * G193 * 87.309552</f>
        <v>1047.714624</v>
      </c>
      <c r="I193" s="28">
        <f>F193 * G193 * 95.223741</f>
        <v>1142.684892</v>
      </c>
      <c r="J193" s="28">
        <f t="shared" si="75"/>
        <v>0</v>
      </c>
      <c r="K193" s="28">
        <f>F193 * G193 * 83.118694</f>
        <v>997.42432800000006</v>
      </c>
      <c r="L193" s="28">
        <f>F193 * G193 * 27.893459</f>
        <v>334.72150799999997</v>
      </c>
      <c r="M193" s="28">
        <f>F193 * G193 * 17.46191</f>
        <v>209.54291999999998</v>
      </c>
      <c r="N193" s="29">
        <f t="shared" si="76"/>
        <v>3732.088272</v>
      </c>
      <c r="O193" s="30">
        <f t="shared" si="77"/>
        <v>4570.371279215281</v>
      </c>
      <c r="P193" s="31">
        <f t="shared" si="78"/>
        <v>3.1226061594485533E-2</v>
      </c>
    </row>
    <row r="194" spans="2:16" ht="12.75" customHeight="1" x14ac:dyDescent="0.25">
      <c r="B194" s="21"/>
      <c r="C194" s="22" t="s">
        <v>397</v>
      </c>
      <c r="D194" s="95" t="s">
        <v>398</v>
      </c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</row>
    <row r="195" spans="2:16" x14ac:dyDescent="0.25">
      <c r="B195" s="33"/>
      <c r="C195" s="34" t="s">
        <v>399</v>
      </c>
      <c r="D195" s="96" t="s">
        <v>400</v>
      </c>
      <c r="E195" s="96"/>
      <c r="F195" s="96"/>
      <c r="G195" s="96"/>
      <c r="H195" s="96"/>
      <c r="I195" s="96"/>
      <c r="J195" s="96"/>
      <c r="K195" s="96"/>
      <c r="L195" s="96"/>
      <c r="M195" s="96"/>
      <c r="N195" s="96"/>
      <c r="O195" s="96"/>
      <c r="P195" s="96"/>
    </row>
    <row r="196" spans="2:16" x14ac:dyDescent="0.25">
      <c r="B196" s="33"/>
      <c r="C196" s="34" t="s">
        <v>401</v>
      </c>
      <c r="D196" s="98" t="s">
        <v>402</v>
      </c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</row>
    <row r="197" spans="2:16" ht="30" x14ac:dyDescent="0.25">
      <c r="B197" s="23">
        <v>7</v>
      </c>
      <c r="C197" s="24" t="s">
        <v>403</v>
      </c>
      <c r="D197" s="25" t="s">
        <v>404</v>
      </c>
      <c r="E197" s="25" t="s">
        <v>405</v>
      </c>
      <c r="F197" s="26">
        <v>0.02</v>
      </c>
      <c r="G197" s="27">
        <v>1</v>
      </c>
      <c r="H197" s="28">
        <f>F197 * G197 * 3021.801</f>
        <v>60.436019999999999</v>
      </c>
      <c r="I197" s="28">
        <f>F197 * G197 * 3749.4653</f>
        <v>74.989305999999999</v>
      </c>
      <c r="J197" s="28">
        <f>F197 * G197 * 942.6954</f>
        <v>18.853908000000001</v>
      </c>
      <c r="K197" s="28">
        <f>F197 * G197 * 2876.754552</f>
        <v>57.535091039999998</v>
      </c>
      <c r="L197" s="28">
        <f>F197 * G197 * 1112.025206</f>
        <v>22.240504120000001</v>
      </c>
      <c r="M197" s="28">
        <f>F197 * G197 * 604.3602</f>
        <v>12.087204</v>
      </c>
      <c r="N197" s="29">
        <f>SUM(H197:M197)</f>
        <v>246.14203315999998</v>
      </c>
      <c r="O197" s="30">
        <f t="shared" ref="O197" si="79">N197*1.07*1.09*1.05</f>
        <v>301.42922593823346</v>
      </c>
      <c r="P197" s="31">
        <f>IF($P$9&gt;0,O197/$P$9/12,0)</f>
        <v>2.0594492220643973E-3</v>
      </c>
    </row>
    <row r="198" spans="2:16" x14ac:dyDescent="0.25">
      <c r="B198" s="33"/>
      <c r="C198" s="34" t="s">
        <v>406</v>
      </c>
      <c r="D198" s="99" t="s">
        <v>407</v>
      </c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</row>
    <row r="199" spans="2:16" ht="45" x14ac:dyDescent="0.25">
      <c r="B199" s="23">
        <v>8</v>
      </c>
      <c r="C199" s="24" t="s">
        <v>408</v>
      </c>
      <c r="D199" s="25" t="s">
        <v>409</v>
      </c>
      <c r="E199" s="25" t="s">
        <v>410</v>
      </c>
      <c r="F199" s="26">
        <v>0.02</v>
      </c>
      <c r="G199" s="27">
        <v>1</v>
      </c>
      <c r="H199" s="28">
        <f>F199 * G199 * 42305.214</f>
        <v>846.10428000000002</v>
      </c>
      <c r="I199" s="28">
        <f>F199 * G199 * 65969.297467</f>
        <v>1319.38594934</v>
      </c>
      <c r="J199" s="28">
        <f>F199 * G199 * 13197.7356</f>
        <v>263.95471200000003</v>
      </c>
      <c r="K199" s="28">
        <f>F199 * G199 * 40274.563728</f>
        <v>805.49127456000008</v>
      </c>
      <c r="L199" s="28">
        <f>F199 * G199 * 16983.415133</f>
        <v>339.66830265999999</v>
      </c>
      <c r="M199" s="28">
        <f>F199 * G199 * 8461.0428</f>
        <v>169.220856</v>
      </c>
      <c r="N199" s="29">
        <f>SUM(H199:M199)</f>
        <v>3743.82537456</v>
      </c>
      <c r="O199" s="30">
        <f t="shared" ref="O199:O200" si="80">N199*1.07*1.09*1.05</f>
        <v>4584.7447110667945</v>
      </c>
      <c r="P199" s="31">
        <f t="shared" ref="P199:P200" si="81">IF($P$9&gt;0,O199/$P$9/12,0)</f>
        <v>3.1324264922158417E-2</v>
      </c>
    </row>
    <row r="200" spans="2:16" ht="45" x14ac:dyDescent="0.25">
      <c r="B200" s="23">
        <v>9</v>
      </c>
      <c r="C200" s="24" t="s">
        <v>411</v>
      </c>
      <c r="D200" s="25" t="s">
        <v>412</v>
      </c>
      <c r="E200" s="25" t="s">
        <v>410</v>
      </c>
      <c r="F200" s="26">
        <v>0.02</v>
      </c>
      <c r="G200" s="27">
        <v>1</v>
      </c>
      <c r="H200" s="28">
        <f>F200 * G200 * 62652.0074</f>
        <v>1253.040148</v>
      </c>
      <c r="I200" s="28">
        <f>F200 * G200 * 128835.963614</f>
        <v>2576.71927228</v>
      </c>
      <c r="J200" s="28">
        <f>F200 * G200 * 19545.21796</f>
        <v>390.90435920000004</v>
      </c>
      <c r="K200" s="28">
        <f>F200 * G200 * 59644.711045</f>
        <v>1192.8942208999999</v>
      </c>
      <c r="L200" s="28">
        <f>F200 * G200 * 28421.179502</f>
        <v>568.42359004000002</v>
      </c>
      <c r="M200" s="28">
        <f>F200 * G200 * 12530.40148</f>
        <v>250.60802960000001</v>
      </c>
      <c r="N200" s="29">
        <f>SUM(H200:M200)</f>
        <v>6232.5896200199995</v>
      </c>
      <c r="O200" s="30">
        <f t="shared" si="80"/>
        <v>7632.5227375207933</v>
      </c>
      <c r="P200" s="31">
        <f t="shared" si="81"/>
        <v>5.2147541318362391E-2</v>
      </c>
    </row>
    <row r="201" spans="2:16" x14ac:dyDescent="0.25">
      <c r="B201" s="33"/>
      <c r="C201" s="34" t="s">
        <v>413</v>
      </c>
      <c r="D201" s="100" t="s">
        <v>414</v>
      </c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</row>
    <row r="202" spans="2:16" ht="30" x14ac:dyDescent="0.25">
      <c r="B202" s="23">
        <v>10</v>
      </c>
      <c r="C202" s="24" t="s">
        <v>415</v>
      </c>
      <c r="D202" s="25" t="s">
        <v>416</v>
      </c>
      <c r="E202" s="25" t="s">
        <v>417</v>
      </c>
      <c r="F202" s="26">
        <v>0.02</v>
      </c>
      <c r="G202" s="27">
        <v>1</v>
      </c>
      <c r="H202" s="28">
        <f>F202 * G202 * 25796.004</f>
        <v>515.92007999999998</v>
      </c>
      <c r="I202" s="28">
        <f>F202 * G202 * 51887.89848</f>
        <v>1037.7579696</v>
      </c>
      <c r="J202" s="28">
        <f>F202 * G202 * 8170.0268</f>
        <v>163.40053599999999</v>
      </c>
      <c r="K202" s="28">
        <f>F202 * G202 * 24557.795808</f>
        <v>491.15591616</v>
      </c>
      <c r="L202" s="28">
        <f>F202 * G202 * 11593.231134</f>
        <v>231.86462268</v>
      </c>
      <c r="M202" s="28">
        <f>F202 * G202 * 5159.2008</f>
        <v>103.184016</v>
      </c>
      <c r="N202" s="29">
        <f>SUM(H202:M202)</f>
        <v>2543.2831404400004</v>
      </c>
      <c r="O202" s="30">
        <f t="shared" ref="O202" si="82">N202*1.07*1.09*1.05</f>
        <v>3114.5426830299316</v>
      </c>
      <c r="P202" s="31">
        <f>IF($P$9&gt;0,O202/$P$9/12,0)</f>
        <v>2.1279431301617416E-2</v>
      </c>
    </row>
    <row r="203" spans="2:16" x14ac:dyDescent="0.25">
      <c r="B203" s="33"/>
      <c r="C203" s="34" t="s">
        <v>418</v>
      </c>
      <c r="D203" s="100" t="s">
        <v>419</v>
      </c>
      <c r="E203" s="100"/>
      <c r="F203" s="100"/>
      <c r="G203" s="100"/>
      <c r="H203" s="100"/>
      <c r="I203" s="100"/>
      <c r="J203" s="100"/>
      <c r="K203" s="100"/>
      <c r="L203" s="100"/>
      <c r="M203" s="100"/>
      <c r="N203" s="100"/>
      <c r="O203" s="100"/>
      <c r="P203" s="100"/>
    </row>
    <row r="204" spans="2:16" ht="45" x14ac:dyDescent="0.25">
      <c r="B204" s="23">
        <v>11</v>
      </c>
      <c r="C204" s="24" t="s">
        <v>420</v>
      </c>
      <c r="D204" s="25" t="s">
        <v>421</v>
      </c>
      <c r="E204" s="25" t="s">
        <v>422</v>
      </c>
      <c r="F204" s="26">
        <v>0.02</v>
      </c>
      <c r="G204" s="27">
        <v>1</v>
      </c>
      <c r="H204" s="28">
        <f>F204 * G204 * 70911.5968</f>
        <v>1418.2319359999999</v>
      </c>
      <c r="I204" s="28">
        <f>F204 * G204 * 66254.14393</f>
        <v>1325.0828786000002</v>
      </c>
      <c r="J204" s="28">
        <f>F204 * G204 * 22121.91872</f>
        <v>442.43837440000004</v>
      </c>
      <c r="K204" s="28">
        <f>F204 * G204 * 67507.840154</f>
        <v>1350.1568030800001</v>
      </c>
      <c r="L204" s="28">
        <f>F204 * G204 * 23813.527458</f>
        <v>476.27054916000003</v>
      </c>
      <c r="M204" s="28">
        <f>F204 * G204 * 14182.31936</f>
        <v>283.64638719999999</v>
      </c>
      <c r="N204" s="29">
        <f>SUM(H204:M204)</f>
        <v>5295.8269284400012</v>
      </c>
      <c r="O204" s="30">
        <f t="shared" ref="O204:O205" si="83">N204*1.07*1.09*1.05</f>
        <v>6485.349093971553</v>
      </c>
      <c r="P204" s="31">
        <f t="shared" ref="P204:P205" si="84">IF($P$9&gt;0,O204/$P$9/12,0)</f>
        <v>4.4309728443958578E-2</v>
      </c>
    </row>
    <row r="205" spans="2:16" ht="45" x14ac:dyDescent="0.25">
      <c r="B205" s="23">
        <v>12</v>
      </c>
      <c r="C205" s="24" t="s">
        <v>423</v>
      </c>
      <c r="D205" s="25" t="s">
        <v>424</v>
      </c>
      <c r="E205" s="25" t="s">
        <v>422</v>
      </c>
      <c r="F205" s="26">
        <v>0.01</v>
      </c>
      <c r="G205" s="27">
        <v>1</v>
      </c>
      <c r="H205" s="28">
        <f>F205 * G205 * 105964.4884</f>
        <v>1059.644884</v>
      </c>
      <c r="I205" s="28">
        <f>F205 * G205 * 118784.466158</f>
        <v>1187.8446615800001</v>
      </c>
      <c r="J205" s="28">
        <f>F205 * G205 * 33057.18536</f>
        <v>330.57185360000005</v>
      </c>
      <c r="K205" s="28">
        <f>F205 * G205 * 100878.192956999</f>
        <v>1008.7819295699901</v>
      </c>
      <c r="L205" s="28">
        <f>F205 * G205 * 37661.854951</f>
        <v>376.61854951000004</v>
      </c>
      <c r="M205" s="28">
        <f>F205 * G205 * 21192.89768</f>
        <v>211.92897679999999</v>
      </c>
      <c r="N205" s="29">
        <f>SUM(H205:M205)</f>
        <v>4175.3908550599899</v>
      </c>
      <c r="O205" s="30">
        <f t="shared" si="83"/>
        <v>5113.2462719692903</v>
      </c>
      <c r="P205" s="31">
        <f t="shared" si="84"/>
        <v>3.4935136180818303E-2</v>
      </c>
    </row>
    <row r="206" spans="2:16" x14ac:dyDescent="0.25">
      <c r="B206" s="33"/>
      <c r="C206" s="34" t="s">
        <v>425</v>
      </c>
      <c r="D206" s="96" t="s">
        <v>426</v>
      </c>
      <c r="E206" s="96"/>
      <c r="F206" s="96"/>
      <c r="G206" s="96"/>
      <c r="H206" s="96"/>
      <c r="I206" s="96"/>
      <c r="J206" s="96"/>
      <c r="K206" s="96"/>
      <c r="L206" s="96"/>
      <c r="M206" s="96"/>
      <c r="N206" s="96"/>
      <c r="O206" s="96"/>
      <c r="P206" s="96"/>
    </row>
    <row r="207" spans="2:16" ht="45" x14ac:dyDescent="0.25">
      <c r="B207" s="23">
        <v>13</v>
      </c>
      <c r="C207" s="24" t="s">
        <v>427</v>
      </c>
      <c r="D207" s="25" t="s">
        <v>428</v>
      </c>
      <c r="E207" s="25" t="s">
        <v>429</v>
      </c>
      <c r="F207" s="26"/>
      <c r="G207" s="27">
        <v>1</v>
      </c>
      <c r="H207" s="28">
        <f>F207 * G207 * 111848.7936</f>
        <v>0</v>
      </c>
      <c r="I207" s="28">
        <f>F207 * G207 * 73673.108342</f>
        <v>0</v>
      </c>
      <c r="J207" s="28">
        <f>F207 * G207 * 0</f>
        <v>0</v>
      </c>
      <c r="K207" s="28">
        <f>F207 * G207 * 106480.051507</f>
        <v>0</v>
      </c>
      <c r="L207" s="28">
        <f>F207 * G207 * 30660.205112</f>
        <v>0</v>
      </c>
      <c r="M207" s="28">
        <f>F207 * G207 * 22369.75872</f>
        <v>0</v>
      </c>
      <c r="N207" s="29">
        <f>SUM(H207:M207)</f>
        <v>0</v>
      </c>
      <c r="O207" s="30">
        <f t="shared" ref="O207" si="85">N207*1.07*1.09*1.05</f>
        <v>0</v>
      </c>
      <c r="P207" s="31">
        <f>IF($P$9&gt;0,O207/$P$9/12,0)</f>
        <v>0</v>
      </c>
    </row>
    <row r="208" spans="2:16" x14ac:dyDescent="0.25">
      <c r="B208" s="33"/>
      <c r="C208" s="34" t="s">
        <v>430</v>
      </c>
      <c r="D208" s="96" t="s">
        <v>431</v>
      </c>
      <c r="E208" s="96"/>
      <c r="F208" s="96"/>
      <c r="G208" s="96"/>
      <c r="H208" s="96"/>
      <c r="I208" s="96"/>
      <c r="J208" s="96"/>
      <c r="K208" s="96"/>
      <c r="L208" s="96"/>
      <c r="M208" s="96"/>
      <c r="N208" s="96"/>
      <c r="O208" s="96"/>
      <c r="P208" s="96"/>
    </row>
    <row r="209" spans="2:16" x14ac:dyDescent="0.25">
      <c r="B209" s="33"/>
      <c r="C209" s="34" t="s">
        <v>432</v>
      </c>
      <c r="D209" s="98" t="s">
        <v>433</v>
      </c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</row>
    <row r="210" spans="2:16" ht="45" x14ac:dyDescent="0.25">
      <c r="B210" s="23">
        <v>14</v>
      </c>
      <c r="C210" s="24" t="s">
        <v>434</v>
      </c>
      <c r="D210" s="25" t="s">
        <v>435</v>
      </c>
      <c r="E210" s="25" t="s">
        <v>410</v>
      </c>
      <c r="F210" s="26"/>
      <c r="G210" s="27">
        <v>1</v>
      </c>
      <c r="H210" s="28">
        <f>F210 * G210 * 30218.01</f>
        <v>0</v>
      </c>
      <c r="I210" s="28">
        <f>F210 * G210 * 10530.677722</f>
        <v>0</v>
      </c>
      <c r="J210" s="28">
        <f>F210 * G210 * 9426.954</f>
        <v>0</v>
      </c>
      <c r="K210" s="28">
        <f>F210 * G210 * 28767.54552</f>
        <v>0</v>
      </c>
      <c r="L210" s="28">
        <f>F210 * G210 * 8289.03466</f>
        <v>0</v>
      </c>
      <c r="M210" s="28">
        <f>F210 * G210 * 6043.602</f>
        <v>0</v>
      </c>
      <c r="N210" s="29">
        <f>SUM(H210:M210)</f>
        <v>0</v>
      </c>
      <c r="O210" s="30">
        <f t="shared" ref="O210:O211" si="86">N210*1.07*1.09*1.05</f>
        <v>0</v>
      </c>
      <c r="P210" s="31">
        <f t="shared" ref="P210:P211" si="87">IF($P$9&gt;0,O210/$P$9/12,0)</f>
        <v>0</v>
      </c>
    </row>
    <row r="211" spans="2:16" ht="45" x14ac:dyDescent="0.25">
      <c r="B211" s="23">
        <v>15</v>
      </c>
      <c r="C211" s="24" t="s">
        <v>436</v>
      </c>
      <c r="D211" s="25" t="s">
        <v>437</v>
      </c>
      <c r="E211" s="25" t="s">
        <v>410</v>
      </c>
      <c r="F211" s="26">
        <v>0.02</v>
      </c>
      <c r="G211" s="27">
        <v>1</v>
      </c>
      <c r="H211" s="28">
        <f>F211 * G211 * 30218.01</f>
        <v>604.36019999999996</v>
      </c>
      <c r="I211" s="28">
        <f>F211 * G211 * 7995.042912</f>
        <v>159.90085823999999</v>
      </c>
      <c r="J211" s="28">
        <f>F211 * G211 * 9426.954</f>
        <v>188.53907999999998</v>
      </c>
      <c r="K211" s="28">
        <f>F211 * G211 * 28767.54552</f>
        <v>575.35091039999998</v>
      </c>
      <c r="L211" s="28">
        <f>F211 * G211 * 8022.79300499999</f>
        <v>160.45586009999982</v>
      </c>
      <c r="M211" s="28">
        <f>F211 * G211 * 6043.602</f>
        <v>120.87204</v>
      </c>
      <c r="N211" s="29">
        <f>SUM(H211:M211)</f>
        <v>1809.4789487399999</v>
      </c>
      <c r="O211" s="30">
        <f t="shared" si="86"/>
        <v>2215.9150628112357</v>
      </c>
      <c r="P211" s="31">
        <f t="shared" si="87"/>
        <v>1.5139754740313436E-2</v>
      </c>
    </row>
    <row r="212" spans="2:16" x14ac:dyDescent="0.25">
      <c r="B212" s="33"/>
      <c r="C212" s="34" t="s">
        <v>438</v>
      </c>
      <c r="D212" s="96" t="s">
        <v>439</v>
      </c>
      <c r="E212" s="96"/>
      <c r="F212" s="96"/>
      <c r="G212" s="96"/>
      <c r="H212" s="96"/>
      <c r="I212" s="96"/>
      <c r="J212" s="96"/>
      <c r="K212" s="96"/>
      <c r="L212" s="96"/>
      <c r="M212" s="96"/>
      <c r="N212" s="96"/>
      <c r="O212" s="96"/>
      <c r="P212" s="96"/>
    </row>
    <row r="213" spans="2:16" x14ac:dyDescent="0.25">
      <c r="B213" s="33"/>
      <c r="C213" s="34" t="s">
        <v>440</v>
      </c>
      <c r="D213" s="98" t="s">
        <v>441</v>
      </c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</row>
    <row r="214" spans="2:16" ht="45" x14ac:dyDescent="0.25">
      <c r="B214" s="23">
        <v>16</v>
      </c>
      <c r="C214" s="24" t="s">
        <v>442</v>
      </c>
      <c r="D214" s="25" t="s">
        <v>443</v>
      </c>
      <c r="E214" s="25" t="s">
        <v>444</v>
      </c>
      <c r="F214" s="26">
        <v>0.2</v>
      </c>
      <c r="G214" s="27">
        <v>1</v>
      </c>
      <c r="H214" s="28">
        <f>F214 * G214 * 4570.16576</f>
        <v>914.03315199999997</v>
      </c>
      <c r="I214" s="28">
        <f>F214 * G214 * 2800.790426</f>
        <v>560.15808520000007</v>
      </c>
      <c r="J214" s="28">
        <f>F214 * G214 * 955.264672</f>
        <v>191.05293440000003</v>
      </c>
      <c r="K214" s="28">
        <f>F214 * G214 * 4350.797804</f>
        <v>870.15956080000001</v>
      </c>
      <c r="L214" s="28">
        <f>F214 * G214 * 1331.086959</f>
        <v>266.21739180000003</v>
      </c>
      <c r="M214" s="28">
        <f>F214 * G214 * 914.033152</f>
        <v>182.80663040000002</v>
      </c>
      <c r="N214" s="29">
        <f>SUM(H214:M214)</f>
        <v>2984.4277545999998</v>
      </c>
      <c r="O214" s="30">
        <f t="shared" ref="O214" si="88">N214*1.07*1.09*1.05</f>
        <v>3654.7749946994791</v>
      </c>
      <c r="P214" s="31">
        <f>IF($P$9&gt;0,O214/$P$9/12,0)</f>
        <v>2.4970450347759552E-2</v>
      </c>
    </row>
    <row r="215" spans="2:16" x14ac:dyDescent="0.25">
      <c r="B215" s="33"/>
      <c r="C215" s="34" t="s">
        <v>445</v>
      </c>
      <c r="D215" s="96" t="s">
        <v>446</v>
      </c>
      <c r="E215" s="96"/>
      <c r="F215" s="96"/>
      <c r="G215" s="96"/>
      <c r="H215" s="96"/>
      <c r="I215" s="96"/>
      <c r="J215" s="96"/>
      <c r="K215" s="96"/>
      <c r="L215" s="96"/>
      <c r="M215" s="96"/>
      <c r="N215" s="96"/>
      <c r="O215" s="96"/>
      <c r="P215" s="96"/>
    </row>
    <row r="216" spans="2:16" x14ac:dyDescent="0.25">
      <c r="B216" s="33"/>
      <c r="C216" s="34" t="s">
        <v>447</v>
      </c>
      <c r="D216" s="98" t="s">
        <v>448</v>
      </c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</row>
    <row r="217" spans="2:16" ht="60" x14ac:dyDescent="0.25">
      <c r="B217" s="23">
        <v>17</v>
      </c>
      <c r="C217" s="24" t="s">
        <v>449</v>
      </c>
      <c r="D217" s="25" t="s">
        <v>450</v>
      </c>
      <c r="E217" s="25" t="s">
        <v>142</v>
      </c>
      <c r="F217" s="26">
        <v>0.1</v>
      </c>
      <c r="G217" s="27">
        <v>1</v>
      </c>
      <c r="H217" s="28">
        <f>F217 * G217 * 5935.54592</f>
        <v>593.55459199999996</v>
      </c>
      <c r="I217" s="28">
        <f>F217 * G217 * 7994.205294</f>
        <v>799.42052940000008</v>
      </c>
      <c r="J217" s="28">
        <f>F217 * G217 * 0</f>
        <v>0</v>
      </c>
      <c r="K217" s="28">
        <f>F217 * G217 * 5650.639716</f>
        <v>565.06397159999995</v>
      </c>
      <c r="L217" s="28">
        <f>F217 * G217 * 2055.941048</f>
        <v>205.59410480000003</v>
      </c>
      <c r="M217" s="28">
        <f>F217 * G217 * 1187.109184</f>
        <v>118.7109184</v>
      </c>
      <c r="N217" s="29">
        <f>SUM(H217:M217)</f>
        <v>2282.3441161999999</v>
      </c>
      <c r="O217" s="30">
        <f t="shared" ref="O217" si="89">N217*1.07*1.09*1.05</f>
        <v>2794.9928398602638</v>
      </c>
      <c r="P217" s="31">
        <f>IF($P$9&gt;0,O217/$P$9/12,0)</f>
        <v>1.9096176927798254E-2</v>
      </c>
    </row>
    <row r="218" spans="2:16" x14ac:dyDescent="0.25">
      <c r="B218" s="33"/>
      <c r="C218" s="34" t="s">
        <v>451</v>
      </c>
      <c r="D218" s="96" t="s">
        <v>452</v>
      </c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</row>
    <row r="219" spans="2:16" ht="30" x14ac:dyDescent="0.25">
      <c r="B219" s="23">
        <v>18</v>
      </c>
      <c r="C219" s="24" t="s">
        <v>453</v>
      </c>
      <c r="D219" s="25" t="s">
        <v>454</v>
      </c>
      <c r="E219" s="25" t="s">
        <v>455</v>
      </c>
      <c r="F219" s="26">
        <v>0.06</v>
      </c>
      <c r="G219" s="27">
        <v>1</v>
      </c>
      <c r="H219" s="28">
        <f>F219 * G219 * 40290.68</f>
        <v>2417.4407999999999</v>
      </c>
      <c r="I219" s="28">
        <f>F219 * G219 * 19890.944173</f>
        <v>1193.4566503799999</v>
      </c>
      <c r="J219" s="28">
        <f>F219 * G219 * 0</f>
        <v>0</v>
      </c>
      <c r="K219" s="28">
        <f>F219 * G219 * 38356.72736</f>
        <v>2301.4036415999999</v>
      </c>
      <c r="L219" s="28">
        <f>F219 * G219 * 10346.526911</f>
        <v>620.79161466000005</v>
      </c>
      <c r="M219" s="28">
        <f>F219 * G219 * 8058.136</f>
        <v>483.48815999999999</v>
      </c>
      <c r="N219" s="29">
        <f>SUM(H219:M219)</f>
        <v>7016.5808666399998</v>
      </c>
      <c r="O219" s="30">
        <f t="shared" ref="O219:O223" si="90">N219*1.07*1.09*1.05</f>
        <v>8592.6101780003446</v>
      </c>
      <c r="P219" s="31">
        <f t="shared" ref="P219:P223" si="91">IF($P$9&gt;0,O219/$P$9/12,0)</f>
        <v>5.8707128651856642E-2</v>
      </c>
    </row>
    <row r="220" spans="2:16" x14ac:dyDescent="0.25">
      <c r="B220" s="23">
        <v>19</v>
      </c>
      <c r="C220" s="24" t="s">
        <v>456</v>
      </c>
      <c r="D220" s="25" t="s">
        <v>457</v>
      </c>
      <c r="E220" s="25" t="s">
        <v>458</v>
      </c>
      <c r="F220" s="26">
        <v>0.2</v>
      </c>
      <c r="G220" s="27">
        <v>1</v>
      </c>
      <c r="H220" s="28">
        <f>F220 * G220 * 6044.928</f>
        <v>1208.9856</v>
      </c>
      <c r="I220" s="28">
        <f>F220 * G220 * 121.415393</f>
        <v>24.2830786</v>
      </c>
      <c r="J220" s="28">
        <f>F220 * G220 * 0</f>
        <v>0</v>
      </c>
      <c r="K220" s="28">
        <f>F220 * G220 * 5754.771456</f>
        <v>1150.9542912000002</v>
      </c>
      <c r="L220" s="28">
        <f>F220 * G220 * 1251.71705899999</f>
        <v>250.34341179999802</v>
      </c>
      <c r="M220" s="28">
        <f>F220 * G220 * 1208.9856</f>
        <v>241.79712000000001</v>
      </c>
      <c r="N220" s="29">
        <f>SUM(H220:M220)</f>
        <v>2876.3635015999985</v>
      </c>
      <c r="O220" s="30">
        <f t="shared" si="90"/>
        <v>3522.437889511883</v>
      </c>
      <c r="P220" s="31">
        <f t="shared" si="91"/>
        <v>2.4066286036948176E-2</v>
      </c>
    </row>
    <row r="221" spans="2:16" ht="60" x14ac:dyDescent="0.25">
      <c r="B221" s="23">
        <v>20</v>
      </c>
      <c r="C221" s="24" t="s">
        <v>459</v>
      </c>
      <c r="D221" s="25" t="s">
        <v>460</v>
      </c>
      <c r="E221" s="25" t="s">
        <v>142</v>
      </c>
      <c r="F221" s="26">
        <v>0.06</v>
      </c>
      <c r="G221" s="27">
        <v>1</v>
      </c>
      <c r="H221" s="28">
        <f>F221 * G221 * 6773.741256</f>
        <v>406.42447535999997</v>
      </c>
      <c r="I221" s="28">
        <f>F221 * G221 * 8076.545685</f>
        <v>484.59274110000001</v>
      </c>
      <c r="J221" s="28">
        <f>F221 * G221 * 0</f>
        <v>0</v>
      </c>
      <c r="K221" s="28">
        <f>F221 * G221 * 6448.601675</f>
        <v>386.91610049999997</v>
      </c>
      <c r="L221" s="28">
        <f>F221 * G221 * 2236.383305</f>
        <v>134.18299829999998</v>
      </c>
      <c r="M221" s="28">
        <f>F221 * G221 * 1354.748251</f>
        <v>81.284895059999997</v>
      </c>
      <c r="N221" s="29">
        <f>SUM(H221:M221)</f>
        <v>1493.40121032</v>
      </c>
      <c r="O221" s="30">
        <f t="shared" si="90"/>
        <v>1828.8415231760271</v>
      </c>
      <c r="P221" s="31">
        <f t="shared" si="91"/>
        <v>1.2495159487141833E-2</v>
      </c>
    </row>
    <row r="222" spans="2:16" ht="30" x14ac:dyDescent="0.25">
      <c r="B222" s="23">
        <v>21</v>
      </c>
      <c r="C222" s="24" t="s">
        <v>461</v>
      </c>
      <c r="D222" s="25" t="s">
        <v>462</v>
      </c>
      <c r="E222" s="25" t="s">
        <v>463</v>
      </c>
      <c r="F222" s="26">
        <v>0.34</v>
      </c>
      <c r="G222" s="27">
        <v>1</v>
      </c>
      <c r="H222" s="28">
        <f>F222 * G222 * 3966.984</f>
        <v>1348.7745600000001</v>
      </c>
      <c r="I222" s="28">
        <f>F222 * G222 * 121.415393</f>
        <v>41.281233620000002</v>
      </c>
      <c r="J222" s="28">
        <f>F222 * G222 * 0</f>
        <v>0</v>
      </c>
      <c r="K222" s="28">
        <f>F222 * G222 * 3776.568768</f>
        <v>1284.0333811200001</v>
      </c>
      <c r="L222" s="28">
        <f>F222 * G222 * 825.821657</f>
        <v>280.77936338000001</v>
      </c>
      <c r="M222" s="28">
        <f>F222 * G222 * 793.3968</f>
        <v>269.75491199999999</v>
      </c>
      <c r="N222" s="29">
        <f>SUM(H222:M222)</f>
        <v>3224.6234501200001</v>
      </c>
      <c r="O222" s="30">
        <f t="shared" si="90"/>
        <v>3948.9222463687047</v>
      </c>
      <c r="P222" s="31">
        <f t="shared" si="91"/>
        <v>2.6980147074203389E-2</v>
      </c>
    </row>
    <row r="223" spans="2:16" ht="30" x14ac:dyDescent="0.25">
      <c r="B223" s="23">
        <v>22</v>
      </c>
      <c r="C223" s="24" t="s">
        <v>464</v>
      </c>
      <c r="D223" s="25" t="s">
        <v>465</v>
      </c>
      <c r="E223" s="25" t="s">
        <v>466</v>
      </c>
      <c r="F223" s="26">
        <v>2</v>
      </c>
      <c r="G223" s="27">
        <v>1</v>
      </c>
      <c r="H223" s="28">
        <f>F223 * G223 * 141.82012</f>
        <v>283.64024000000001</v>
      </c>
      <c r="I223" s="28">
        <f>F223 * G223 * 2917.78396</f>
        <v>5835.5679200000004</v>
      </c>
      <c r="J223" s="28">
        <f>F223 * G223 * 0.026838</f>
        <v>5.3676000000000001E-2</v>
      </c>
      <c r="K223" s="28">
        <f>F223 * G223 * 135.012754</f>
        <v>270.025508</v>
      </c>
      <c r="L223" s="28">
        <f>F223 * G223 * 335.437584999999</f>
        <v>670.87516999999798</v>
      </c>
      <c r="M223" s="28">
        <f>F223 * G223 * 28.364024</f>
        <v>56.728048000000001</v>
      </c>
      <c r="N223" s="29">
        <f>SUM(H223:M223)</f>
        <v>7116.8905619999978</v>
      </c>
      <c r="O223" s="30">
        <f t="shared" si="90"/>
        <v>8715.4509355836271</v>
      </c>
      <c r="P223" s="31">
        <f t="shared" si="91"/>
        <v>5.9546411245822932E-2</v>
      </c>
    </row>
    <row r="224" spans="2:16" ht="12.75" customHeight="1" x14ac:dyDescent="0.25">
      <c r="B224" s="21"/>
      <c r="C224" s="22" t="s">
        <v>467</v>
      </c>
      <c r="D224" s="95" t="s">
        <v>468</v>
      </c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</row>
    <row r="225" spans="2:16" x14ac:dyDescent="0.25">
      <c r="B225" s="33"/>
      <c r="C225" s="34" t="s">
        <v>469</v>
      </c>
      <c r="D225" s="96" t="s">
        <v>470</v>
      </c>
      <c r="E225" s="96"/>
      <c r="F225" s="96"/>
      <c r="G225" s="96"/>
      <c r="H225" s="96"/>
      <c r="I225" s="96"/>
      <c r="J225" s="96"/>
      <c r="K225" s="96"/>
      <c r="L225" s="96"/>
      <c r="M225" s="96"/>
      <c r="N225" s="96"/>
      <c r="O225" s="96"/>
      <c r="P225" s="96"/>
    </row>
    <row r="226" spans="2:16" x14ac:dyDescent="0.25">
      <c r="B226" s="33"/>
      <c r="C226" s="34" t="s">
        <v>471</v>
      </c>
      <c r="D226" s="98" t="s">
        <v>472</v>
      </c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</row>
    <row r="227" spans="2:16" ht="30" x14ac:dyDescent="0.25">
      <c r="B227" s="23">
        <v>23</v>
      </c>
      <c r="C227" s="24" t="s">
        <v>473</v>
      </c>
      <c r="D227" s="25" t="s">
        <v>474</v>
      </c>
      <c r="E227" s="25" t="s">
        <v>475</v>
      </c>
      <c r="F227" s="26">
        <v>0.01</v>
      </c>
      <c r="G227" s="27">
        <v>1</v>
      </c>
      <c r="H227" s="28">
        <f>F227 * G227 * 5213.7504</f>
        <v>52.137504</v>
      </c>
      <c r="I227" s="28">
        <f>F227 * G227 * 5870.08583</f>
        <v>58.7008583</v>
      </c>
      <c r="J227" s="28">
        <f>F227 * G227 * 0</f>
        <v>0</v>
      </c>
      <c r="K227" s="28">
        <f>F227 * G227 * 4963.490381</f>
        <v>49.634903809999997</v>
      </c>
      <c r="L227" s="28">
        <f>F227 * G227 * 1684.969294</f>
        <v>16.849692940000001</v>
      </c>
      <c r="M227" s="28">
        <f>F227 * G227 * 1042.75008</f>
        <v>10.427500800000001</v>
      </c>
      <c r="N227" s="29">
        <f>SUM(H227:M227)</f>
        <v>187.75045985</v>
      </c>
      <c r="O227" s="30">
        <f t="shared" ref="O227" si="92">N227*1.07*1.09*1.05</f>
        <v>229.92202938920778</v>
      </c>
      <c r="P227" s="31">
        <f>IF($P$9&gt;0,O227/$P$9/12,0)</f>
        <v>1.5708919501325996E-3</v>
      </c>
    </row>
    <row r="228" spans="2:16" x14ac:dyDescent="0.25">
      <c r="B228" s="33"/>
      <c r="C228" s="34" t="s">
        <v>476</v>
      </c>
      <c r="D228" s="96" t="s">
        <v>477</v>
      </c>
      <c r="E228" s="96"/>
      <c r="F228" s="96"/>
      <c r="G228" s="96"/>
      <c r="H228" s="96"/>
      <c r="I228" s="96"/>
      <c r="J228" s="96"/>
      <c r="K228" s="96"/>
      <c r="L228" s="96"/>
      <c r="M228" s="96"/>
      <c r="N228" s="96"/>
      <c r="O228" s="96"/>
      <c r="P228" s="96"/>
    </row>
    <row r="229" spans="2:16" x14ac:dyDescent="0.25">
      <c r="B229" s="33"/>
      <c r="C229" s="34" t="s">
        <v>478</v>
      </c>
      <c r="D229" s="98" t="s">
        <v>479</v>
      </c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</row>
    <row r="230" spans="2:16" ht="45" x14ac:dyDescent="0.25">
      <c r="B230" s="23">
        <v>24</v>
      </c>
      <c r="C230" s="24" t="s">
        <v>480</v>
      </c>
      <c r="D230" s="25" t="s">
        <v>481</v>
      </c>
      <c r="E230" s="25" t="s">
        <v>444</v>
      </c>
      <c r="F230" s="26"/>
      <c r="G230" s="27">
        <v>1</v>
      </c>
      <c r="H230" s="28">
        <f>F230 * G230 * 2575.631784</f>
        <v>0</v>
      </c>
      <c r="I230" s="28">
        <f>F230 * G230 * 10150.218662</f>
        <v>0</v>
      </c>
      <c r="J230" s="28">
        <f>F230 * G230 * 0</f>
        <v>0</v>
      </c>
      <c r="K230" s="28">
        <f>F230 * G230 * 2452.001459</f>
        <v>0</v>
      </c>
      <c r="L230" s="28">
        <f>F230 * G230 * 1593.67445</f>
        <v>0</v>
      </c>
      <c r="M230" s="28">
        <f>F230 * G230 * 515.126357</f>
        <v>0</v>
      </c>
      <c r="N230" s="29">
        <f>SUM(H230:M230)</f>
        <v>0</v>
      </c>
      <c r="O230" s="30">
        <f t="shared" ref="O230" si="93">N230*1.07*1.09*1.05</f>
        <v>0</v>
      </c>
      <c r="P230" s="31">
        <f>IF($P$9&gt;0,O230/$P$9/12,0)</f>
        <v>0</v>
      </c>
    </row>
    <row r="231" spans="2:16" ht="12.75" customHeight="1" x14ac:dyDescent="0.25">
      <c r="B231" s="21"/>
      <c r="C231" s="22" t="s">
        <v>482</v>
      </c>
      <c r="D231" s="95" t="s">
        <v>483</v>
      </c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</row>
    <row r="232" spans="2:16" x14ac:dyDescent="0.25">
      <c r="B232" s="33"/>
      <c r="C232" s="34" t="s">
        <v>484</v>
      </c>
      <c r="D232" s="96" t="s">
        <v>485</v>
      </c>
      <c r="E232" s="96"/>
      <c r="F232" s="96"/>
      <c r="G232" s="96"/>
      <c r="H232" s="96"/>
      <c r="I232" s="96"/>
      <c r="J232" s="96"/>
      <c r="K232" s="96"/>
      <c r="L232" s="96"/>
      <c r="M232" s="96"/>
      <c r="N232" s="96"/>
      <c r="O232" s="96"/>
      <c r="P232" s="96"/>
    </row>
    <row r="233" spans="2:16" x14ac:dyDescent="0.25">
      <c r="B233" s="23">
        <v>25</v>
      </c>
      <c r="C233" s="24" t="s">
        <v>486</v>
      </c>
      <c r="D233" s="25" t="s">
        <v>487</v>
      </c>
      <c r="E233" s="25" t="s">
        <v>488</v>
      </c>
      <c r="F233" s="26">
        <v>0.4</v>
      </c>
      <c r="G233" s="27">
        <v>1</v>
      </c>
      <c r="H233" s="28">
        <f>F233 * G233 * 188.50926</f>
        <v>75.403704000000005</v>
      </c>
      <c r="I233" s="28">
        <f>F233 * G233 * 91.014034</f>
        <v>36.405613600000002</v>
      </c>
      <c r="J233" s="28">
        <f>F233 * G233 * 0</f>
        <v>0</v>
      </c>
      <c r="K233" s="28">
        <f>F233 * G233 * 179.460816</f>
        <v>71.784326399999998</v>
      </c>
      <c r="L233" s="28">
        <f>F233 * G233 * 48.193332</f>
        <v>19.2773328</v>
      </c>
      <c r="M233" s="28">
        <f>F233 * G233 * 37.701852</f>
        <v>15.080740800000001</v>
      </c>
      <c r="N233" s="29">
        <f>SUM(H233:M233)</f>
        <v>217.95171760000002</v>
      </c>
      <c r="O233" s="30">
        <f t="shared" ref="O233" si="94">N233*1.07*1.09*1.05</f>
        <v>266.90694264872405</v>
      </c>
      <c r="P233" s="31">
        <f>IF($P$9&gt;0,O233/$P$9/12,0)</f>
        <v>1.8235832762750681E-3</v>
      </c>
    </row>
    <row r="234" spans="2:16" x14ac:dyDescent="0.25">
      <c r="B234" s="33"/>
      <c r="C234" s="34" t="s">
        <v>489</v>
      </c>
      <c r="D234" s="96" t="s">
        <v>490</v>
      </c>
      <c r="E234" s="96"/>
      <c r="F234" s="96"/>
      <c r="G234" s="96"/>
      <c r="H234" s="96"/>
      <c r="I234" s="96"/>
      <c r="J234" s="96"/>
      <c r="K234" s="96"/>
      <c r="L234" s="96"/>
      <c r="M234" s="96"/>
      <c r="N234" s="96"/>
      <c r="O234" s="96"/>
      <c r="P234" s="96"/>
    </row>
    <row r="235" spans="2:16" x14ac:dyDescent="0.25">
      <c r="B235" s="23">
        <v>26</v>
      </c>
      <c r="C235" s="24" t="s">
        <v>491</v>
      </c>
      <c r="D235" s="25" t="s">
        <v>492</v>
      </c>
      <c r="E235" s="25" t="s">
        <v>488</v>
      </c>
      <c r="F235" s="26">
        <v>0.4</v>
      </c>
      <c r="G235" s="27">
        <v>1</v>
      </c>
      <c r="H235" s="28">
        <f>F235 * G235 * 261.88942</f>
        <v>104.75576799999999</v>
      </c>
      <c r="I235" s="28">
        <f>F235 * G235 * 4.840428</f>
        <v>1.9361712000000002</v>
      </c>
      <c r="J235" s="28">
        <f>F235 * G235 * 0</f>
        <v>0</v>
      </c>
      <c r="K235" s="28">
        <f>F235 * G235 * 249.318728</f>
        <v>99.727491200000003</v>
      </c>
      <c r="L235" s="28">
        <f>F235 * G235 * 54.185101</f>
        <v>21.674040400000003</v>
      </c>
      <c r="M235" s="28">
        <f>F235 * G235 * 52.377884</f>
        <v>20.951153600000001</v>
      </c>
      <c r="N235" s="29">
        <f>SUM(H235:M235)</f>
        <v>249.0446244</v>
      </c>
      <c r="O235" s="30">
        <f t="shared" ref="O235:O236" si="95">N235*1.07*1.09*1.05</f>
        <v>304.98378270960609</v>
      </c>
      <c r="P235" s="31">
        <f t="shared" ref="P235:P236" si="96">IF($P$9&gt;0,O235/$P$9/12,0)</f>
        <v>2.0837349533328283E-3</v>
      </c>
    </row>
    <row r="236" spans="2:16" x14ac:dyDescent="0.25">
      <c r="B236" s="23">
        <v>27</v>
      </c>
      <c r="C236" s="24" t="s">
        <v>493</v>
      </c>
      <c r="D236" s="25" t="s">
        <v>494</v>
      </c>
      <c r="E236" s="25" t="s">
        <v>488</v>
      </c>
      <c r="F236" s="26">
        <v>0.4</v>
      </c>
      <c r="G236" s="27">
        <v>1</v>
      </c>
      <c r="H236" s="28">
        <f>F236 * G236 * 141.01738</f>
        <v>56.406952000000004</v>
      </c>
      <c r="I236" s="28">
        <f>F236 * G236 * 84.471634</f>
        <v>33.788653599999996</v>
      </c>
      <c r="J236" s="28">
        <f>F236 * G236 * 0</f>
        <v>0</v>
      </c>
      <c r="K236" s="28">
        <f>F236 * G236 * 134.248546</f>
        <v>53.699418400000006</v>
      </c>
      <c r="L236" s="28">
        <f>F236 * G236 * 37.772444</f>
        <v>15.108977600000001</v>
      </c>
      <c r="M236" s="28">
        <f>F236 * G236 * 28.203476</f>
        <v>11.281390399999999</v>
      </c>
      <c r="N236" s="29">
        <f>SUM(H236:M236)</f>
        <v>170.285392</v>
      </c>
      <c r="O236" s="30">
        <f t="shared" si="95"/>
        <v>208.53404532408004</v>
      </c>
      <c r="P236" s="31">
        <f t="shared" si="96"/>
        <v>1.4247632295105357E-3</v>
      </c>
    </row>
    <row r="237" spans="2:16" ht="12.75" customHeight="1" x14ac:dyDescent="0.25">
      <c r="B237" s="21"/>
      <c r="C237" s="22" t="s">
        <v>495</v>
      </c>
      <c r="D237" s="95" t="s">
        <v>496</v>
      </c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</row>
    <row r="238" spans="2:16" x14ac:dyDescent="0.25">
      <c r="B238" s="33"/>
      <c r="C238" s="34" t="s">
        <v>497</v>
      </c>
      <c r="D238" s="96" t="s">
        <v>498</v>
      </c>
      <c r="E238" s="96"/>
      <c r="F238" s="96"/>
      <c r="G238" s="96"/>
      <c r="H238" s="96"/>
      <c r="I238" s="96"/>
      <c r="J238" s="96"/>
      <c r="K238" s="96"/>
      <c r="L238" s="96"/>
      <c r="M238" s="96"/>
      <c r="N238" s="96"/>
      <c r="O238" s="96"/>
      <c r="P238" s="96"/>
    </row>
    <row r="239" spans="2:16" ht="30" x14ac:dyDescent="0.25">
      <c r="B239" s="23">
        <v>28</v>
      </c>
      <c r="C239" s="24" t="s">
        <v>499</v>
      </c>
      <c r="D239" s="25" t="s">
        <v>500</v>
      </c>
      <c r="E239" s="25" t="s">
        <v>501</v>
      </c>
      <c r="F239" s="26">
        <v>0.28000000000000003</v>
      </c>
      <c r="G239" s="27">
        <v>1</v>
      </c>
      <c r="H239" s="28">
        <f>F239 * G239 * 563.565096</f>
        <v>157.79822688000002</v>
      </c>
      <c r="I239" s="28">
        <f>F239 * G239 * 69.670018</f>
        <v>19.507605040000001</v>
      </c>
      <c r="J239" s="28">
        <f>F239 * G239 * 0</f>
        <v>0</v>
      </c>
      <c r="K239" s="28">
        <f>F239 * G239 * 536.513971</f>
        <v>150.22391188</v>
      </c>
      <c r="L239" s="28">
        <f>F239 * G239 * 122.823653999999</f>
        <v>34.390623119999724</v>
      </c>
      <c r="M239" s="28">
        <f>F239 * G239 * 112.713019</f>
        <v>31.559645320000005</v>
      </c>
      <c r="N239" s="29">
        <f>SUM(H239:M239)</f>
        <v>393.48001223999972</v>
      </c>
      <c r="O239" s="30">
        <f t="shared" ref="O239:O240" si="97">N239*1.07*1.09*1.05</f>
        <v>481.86152518928742</v>
      </c>
      <c r="P239" s="31">
        <f t="shared" ref="P239:P240" si="98">IF($P$9&gt;0,O239/$P$9/12,0)</f>
        <v>3.2922134212599232E-3</v>
      </c>
    </row>
    <row r="240" spans="2:16" ht="30" x14ac:dyDescent="0.25">
      <c r="B240" s="23">
        <v>29</v>
      </c>
      <c r="C240" s="24" t="s">
        <v>502</v>
      </c>
      <c r="D240" s="25" t="s">
        <v>503</v>
      </c>
      <c r="E240" s="25" t="s">
        <v>504</v>
      </c>
      <c r="F240" s="26">
        <v>0.04</v>
      </c>
      <c r="G240" s="27">
        <v>1</v>
      </c>
      <c r="H240" s="28">
        <f>F240 * G240 * 6212.27838</f>
        <v>248.4911352</v>
      </c>
      <c r="I240" s="28">
        <f>F240 * G240 * 23421.55512</f>
        <v>936.86220480000009</v>
      </c>
      <c r="J240" s="28">
        <f>F240 * G240 * 0</f>
        <v>0</v>
      </c>
      <c r="K240" s="28">
        <f>F240 * G240 * 5914.089018</f>
        <v>236.56356072</v>
      </c>
      <c r="L240" s="28">
        <f>F240 * G240 * 3732.531865</f>
        <v>149.3012746</v>
      </c>
      <c r="M240" s="28">
        <f>F240 * G240 * 1242.455676</f>
        <v>49.698227040000006</v>
      </c>
      <c r="N240" s="29">
        <f>SUM(H240:M240)</f>
        <v>1620.9164023600001</v>
      </c>
      <c r="O240" s="30">
        <f t="shared" si="97"/>
        <v>1984.998540076092</v>
      </c>
      <c r="P240" s="31">
        <f t="shared" si="98"/>
        <v>1.356206813202763E-2</v>
      </c>
    </row>
    <row r="241" spans="2:16" x14ac:dyDescent="0.25">
      <c r="B241" s="33"/>
      <c r="C241" s="34" t="s">
        <v>505</v>
      </c>
      <c r="D241" s="96" t="s">
        <v>506</v>
      </c>
      <c r="E241" s="96"/>
      <c r="F241" s="96"/>
      <c r="G241" s="96"/>
      <c r="H241" s="96"/>
      <c r="I241" s="96"/>
      <c r="J241" s="96"/>
      <c r="K241" s="96"/>
      <c r="L241" s="96"/>
      <c r="M241" s="96"/>
      <c r="N241" s="96"/>
      <c r="O241" s="96"/>
      <c r="P241" s="96"/>
    </row>
    <row r="242" spans="2:16" ht="45" x14ac:dyDescent="0.25">
      <c r="B242" s="23">
        <v>30</v>
      </c>
      <c r="C242" s="24" t="s">
        <v>507</v>
      </c>
      <c r="D242" s="25" t="s">
        <v>508</v>
      </c>
      <c r="E242" s="25" t="s">
        <v>509</v>
      </c>
      <c r="F242" s="26">
        <v>0.43</v>
      </c>
      <c r="G242" s="27">
        <v>1</v>
      </c>
      <c r="H242" s="28">
        <f>F242 * G242 * 928.656144</f>
        <v>399.32214192000004</v>
      </c>
      <c r="I242" s="28">
        <f>F242 * G242 * 524.447628</f>
        <v>225.51248004000001</v>
      </c>
      <c r="J242" s="28">
        <f>F242 * G242 * 0</f>
        <v>0</v>
      </c>
      <c r="K242" s="28">
        <f>F242 * G242 * 884.080649</f>
        <v>380.15467906999999</v>
      </c>
      <c r="L242" s="28">
        <f>F242 * G242 * 245.404364</f>
        <v>105.52387651999999</v>
      </c>
      <c r="M242" s="28">
        <f>F242 * G242 * 185.731229</f>
        <v>79.864428470000007</v>
      </c>
      <c r="N242" s="29">
        <f>SUM(H242:M242)</f>
        <v>1190.3776060199998</v>
      </c>
      <c r="O242" s="30">
        <f t="shared" ref="O242" si="99">N242*1.07*1.09*1.05</f>
        <v>1457.7542719961823</v>
      </c>
      <c r="P242" s="31">
        <f>IF($P$9&gt;0,O242/$P$9/12,0)</f>
        <v>9.9597870514346581E-3</v>
      </c>
    </row>
    <row r="243" spans="2:16" x14ac:dyDescent="0.25">
      <c r="B243" s="33"/>
      <c r="C243" s="34" t="s">
        <v>510</v>
      </c>
      <c r="D243" s="96" t="s">
        <v>511</v>
      </c>
      <c r="E243" s="96"/>
      <c r="F243" s="96"/>
      <c r="G243" s="96"/>
      <c r="H243" s="96"/>
      <c r="I243" s="96"/>
      <c r="J243" s="96"/>
      <c r="K243" s="96"/>
      <c r="L243" s="96"/>
      <c r="M243" s="96"/>
      <c r="N243" s="96"/>
      <c r="O243" s="96"/>
      <c r="P243" s="96"/>
    </row>
    <row r="244" spans="2:16" ht="60" x14ac:dyDescent="0.25">
      <c r="B244" s="23">
        <v>31</v>
      </c>
      <c r="C244" s="24" t="s">
        <v>512</v>
      </c>
      <c r="D244" s="25" t="s">
        <v>513</v>
      </c>
      <c r="E244" s="25" t="s">
        <v>504</v>
      </c>
      <c r="F244" s="26"/>
      <c r="G244" s="27">
        <v>1</v>
      </c>
      <c r="H244" s="28">
        <f>F244 * G244 * 47030.94098</f>
        <v>0</v>
      </c>
      <c r="I244" s="28">
        <f>F244 * G244 * 7288.33512</f>
        <v>0</v>
      </c>
      <c r="J244" s="28">
        <f>F244 * G244 * 195.626868</f>
        <v>0</v>
      </c>
      <c r="K244" s="28">
        <f>F244 * G244 * 44945.3738489999</f>
        <v>0</v>
      </c>
      <c r="L244" s="28">
        <f>F244 * G244 * 10443.329066</f>
        <v>0</v>
      </c>
      <c r="M244" s="28">
        <f>F244 * G244 * 9442.30543</f>
        <v>0</v>
      </c>
      <c r="N244" s="29">
        <f>SUM(H244:M244)</f>
        <v>0</v>
      </c>
      <c r="O244" s="30">
        <f t="shared" ref="O244" si="100">N244*1.07*1.09*1.05</f>
        <v>0</v>
      </c>
      <c r="P244" s="31">
        <f>IF($P$9&gt;0,O244/$P$9/12,0)</f>
        <v>0</v>
      </c>
    </row>
    <row r="245" spans="2:16" ht="12.75" customHeight="1" x14ac:dyDescent="0.25">
      <c r="B245" s="21"/>
      <c r="C245" s="22" t="s">
        <v>514</v>
      </c>
      <c r="D245" s="95" t="s">
        <v>515</v>
      </c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</row>
    <row r="246" spans="2:16" x14ac:dyDescent="0.25">
      <c r="B246" s="33"/>
      <c r="C246" s="34" t="s">
        <v>516</v>
      </c>
      <c r="D246" s="96" t="s">
        <v>517</v>
      </c>
      <c r="E246" s="96"/>
      <c r="F246" s="96"/>
      <c r="G246" s="96"/>
      <c r="H246" s="96"/>
      <c r="I246" s="96"/>
      <c r="J246" s="96"/>
      <c r="K246" s="96"/>
      <c r="L246" s="96"/>
      <c r="M246" s="96"/>
      <c r="N246" s="96"/>
      <c r="O246" s="96"/>
      <c r="P246" s="96"/>
    </row>
    <row r="247" spans="2:16" x14ac:dyDescent="0.25">
      <c r="B247" s="33"/>
      <c r="C247" s="34" t="s">
        <v>518</v>
      </c>
      <c r="D247" s="98" t="s">
        <v>519</v>
      </c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</row>
    <row r="248" spans="2:16" x14ac:dyDescent="0.25">
      <c r="B248" s="23">
        <v>32</v>
      </c>
      <c r="C248" s="24" t="s">
        <v>520</v>
      </c>
      <c r="D248" s="25" t="s">
        <v>521</v>
      </c>
      <c r="E248" s="25" t="s">
        <v>522</v>
      </c>
      <c r="F248" s="26">
        <v>0.05</v>
      </c>
      <c r="G248" s="27">
        <v>1</v>
      </c>
      <c r="H248" s="28">
        <f>F248 * G248 * 4222.0044</f>
        <v>211.10022000000001</v>
      </c>
      <c r="I248" s="28">
        <f>F248 * G248 * 35959.213757</f>
        <v>1797.9606878499999</v>
      </c>
      <c r="J248" s="28">
        <f>F248 * G248 * 111.515085</f>
        <v>5.5757542500000001</v>
      </c>
      <c r="K248" s="28">
        <f>F248 * G248 * 4057.837301</f>
        <v>202.89186505000001</v>
      </c>
      <c r="L248" s="28">
        <f>F248 * G248 * 4656.809907</f>
        <v>232.84049535</v>
      </c>
      <c r="M248" s="28">
        <f>F248 * G248 * 852.486828</f>
        <v>42.624341399999999</v>
      </c>
      <c r="N248" s="29">
        <f>SUM(H248:M248)</f>
        <v>2492.9933639000001</v>
      </c>
      <c r="O248" s="30">
        <f t="shared" ref="O248" si="101">N248*1.07*1.09*1.05</f>
        <v>3052.9570683323991</v>
      </c>
      <c r="P248" s="31">
        <f>IF($P$9&gt;0,O248/$P$9/12,0)</f>
        <v>2.0858661066467155E-2</v>
      </c>
    </row>
    <row r="249" spans="2:16" x14ac:dyDescent="0.25">
      <c r="B249" s="33"/>
      <c r="C249" s="34" t="s">
        <v>523</v>
      </c>
      <c r="D249" s="96" t="s">
        <v>524</v>
      </c>
      <c r="E249" s="96"/>
      <c r="F249" s="96"/>
      <c r="G249" s="96"/>
      <c r="H249" s="96"/>
      <c r="I249" s="96"/>
      <c r="J249" s="96"/>
      <c r="K249" s="96"/>
      <c r="L249" s="96"/>
      <c r="M249" s="96"/>
      <c r="N249" s="96"/>
      <c r="O249" s="96"/>
      <c r="P249" s="96"/>
    </row>
    <row r="250" spans="2:16" x14ac:dyDescent="0.25">
      <c r="B250" s="33"/>
      <c r="C250" s="34" t="s">
        <v>525</v>
      </c>
      <c r="D250" s="98" t="s">
        <v>526</v>
      </c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</row>
    <row r="251" spans="2:16" ht="30" x14ac:dyDescent="0.25">
      <c r="B251" s="23">
        <v>33</v>
      </c>
      <c r="C251" s="24" t="s">
        <v>527</v>
      </c>
      <c r="D251" s="25" t="s">
        <v>528</v>
      </c>
      <c r="E251" s="25" t="s">
        <v>529</v>
      </c>
      <c r="F251" s="26">
        <v>0.05</v>
      </c>
      <c r="G251" s="27">
        <v>1</v>
      </c>
      <c r="H251" s="28">
        <f>F251 * G251 * 8130.42816</f>
        <v>406.52140800000006</v>
      </c>
      <c r="I251" s="28">
        <f>F251 * G251 * 69750.232387</f>
        <v>3487.5116193499998</v>
      </c>
      <c r="J251" s="28">
        <f>F251 * G251 * 213.367851</f>
        <v>10.66839255</v>
      </c>
      <c r="K251" s="28">
        <f>F251 * G251 * 7809.448011</f>
        <v>390.47240055000003</v>
      </c>
      <c r="L251" s="28">
        <f>F251 * G251 * 9019.865023</f>
        <v>450.99325115000005</v>
      </c>
      <c r="M251" s="28">
        <f>F251 * G251 * 1640.640338</f>
        <v>82.032016900000002</v>
      </c>
      <c r="N251" s="29">
        <f>SUM(H251:M251)</f>
        <v>4828.1990884999996</v>
      </c>
      <c r="O251" s="30">
        <f t="shared" ref="O251:O252" si="102">N251*1.07*1.09*1.05</f>
        <v>5912.6850267634281</v>
      </c>
      <c r="P251" s="31">
        <f t="shared" ref="P251:P252" si="103">IF($P$9&gt;0,O251/$P$9/12,0)</f>
        <v>4.0397126525398515E-2</v>
      </c>
    </row>
    <row r="252" spans="2:16" x14ac:dyDescent="0.25">
      <c r="B252" s="23">
        <v>34</v>
      </c>
      <c r="C252" s="24" t="s">
        <v>530</v>
      </c>
      <c r="D252" s="25" t="s">
        <v>531</v>
      </c>
      <c r="E252" s="25" t="s">
        <v>532</v>
      </c>
      <c r="F252" s="26">
        <v>0.05</v>
      </c>
      <c r="G252" s="27">
        <v>1</v>
      </c>
      <c r="H252" s="28">
        <f>F252 * G252 * 22764.2342</f>
        <v>1138.21171</v>
      </c>
      <c r="I252" s="28">
        <f>F252 * G252 * 26642.622563</f>
        <v>1332.1311281500002</v>
      </c>
      <c r="J252" s="28">
        <f>F252 * G252 * 0</f>
        <v>0</v>
      </c>
      <c r="K252" s="28">
        <f>F252 * G252 * 21671.550958</f>
        <v>1083.5775479000001</v>
      </c>
      <c r="L252" s="28">
        <f>F252 * G252 * 7463.232811</f>
        <v>373.16164055000002</v>
      </c>
      <c r="M252" s="28">
        <f>F252 * G252 * 4552.84684</f>
        <v>227.64234200000001</v>
      </c>
      <c r="N252" s="29">
        <f>SUM(H252:M252)</f>
        <v>4154.7243686000002</v>
      </c>
      <c r="O252" s="30">
        <f t="shared" si="102"/>
        <v>5087.937782653089</v>
      </c>
      <c r="P252" s="31">
        <f t="shared" si="103"/>
        <v>3.4762221466023674E-2</v>
      </c>
    </row>
    <row r="253" spans="2:16" x14ac:dyDescent="0.25">
      <c r="B253" s="33"/>
      <c r="C253" s="34" t="s">
        <v>533</v>
      </c>
      <c r="D253" s="96" t="s">
        <v>534</v>
      </c>
      <c r="E253" s="96"/>
      <c r="F253" s="96"/>
      <c r="G253" s="96"/>
      <c r="H253" s="96"/>
      <c r="I253" s="96"/>
      <c r="J253" s="96"/>
      <c r="K253" s="96"/>
      <c r="L253" s="96"/>
      <c r="M253" s="96"/>
      <c r="N253" s="96"/>
      <c r="O253" s="96"/>
      <c r="P253" s="96"/>
    </row>
    <row r="254" spans="2:16" x14ac:dyDescent="0.25">
      <c r="B254" s="23">
        <v>35</v>
      </c>
      <c r="C254" s="24" t="s">
        <v>535</v>
      </c>
      <c r="D254" s="25" t="s">
        <v>536</v>
      </c>
      <c r="E254" s="25" t="s">
        <v>537</v>
      </c>
      <c r="F254" s="26">
        <v>0.5</v>
      </c>
      <c r="G254" s="27">
        <v>1</v>
      </c>
      <c r="H254" s="28">
        <f>F254 * G254 * 853.25244</f>
        <v>426.62621999999999</v>
      </c>
      <c r="I254" s="28">
        <f>F254 * G254 * 2614.053425</f>
        <v>1307.0267125</v>
      </c>
      <c r="J254" s="28">
        <f>F254 * G254 * 0</f>
        <v>0</v>
      </c>
      <c r="K254" s="28">
        <f>F254 * G254 * 812.296323</f>
        <v>406.14816150000001</v>
      </c>
      <c r="L254" s="28">
        <f>F254 * G254 * 449.35823</f>
        <v>224.679115</v>
      </c>
      <c r="M254" s="28">
        <f>F254 * G254 * 170.650488</f>
        <v>85.325243999999998</v>
      </c>
      <c r="N254" s="29">
        <f>SUM(H254:M254)</f>
        <v>2449.8054530000004</v>
      </c>
      <c r="O254" s="30">
        <f t="shared" ref="O254:O256" si="104">N254*1.07*1.09*1.05</f>
        <v>3000.0685048255964</v>
      </c>
      <c r="P254" s="31">
        <f t="shared" ref="P254:P256" si="105">IF($P$9&gt;0,O254/$P$9/12,0)</f>
        <v>2.049731153033257E-2</v>
      </c>
    </row>
    <row r="255" spans="2:16" ht="45" x14ac:dyDescent="0.25">
      <c r="B255" s="23">
        <v>36</v>
      </c>
      <c r="C255" s="24" t="s">
        <v>538</v>
      </c>
      <c r="D255" s="25" t="s">
        <v>539</v>
      </c>
      <c r="E255" s="25" t="s">
        <v>410</v>
      </c>
      <c r="F255" s="26">
        <v>2.5000000000000001E-2</v>
      </c>
      <c r="G255" s="27">
        <v>1</v>
      </c>
      <c r="H255" s="28">
        <f>F255 * G255 * 30218.01</f>
        <v>755.45024999999998</v>
      </c>
      <c r="I255" s="28">
        <f>F255 * G255 * 10530.677722</f>
        <v>263.26694305000001</v>
      </c>
      <c r="J255" s="28">
        <f>F255 * G255 * 0</f>
        <v>0</v>
      </c>
      <c r="K255" s="28">
        <f>F255 * G255 * 28767.54552</f>
        <v>719.18863800000008</v>
      </c>
      <c r="L255" s="28">
        <f>F255 * G255 * 7299.20449</f>
        <v>182.48011225000002</v>
      </c>
      <c r="M255" s="28">
        <f>F255 * G255 * 6043.602</f>
        <v>151.09004999999999</v>
      </c>
      <c r="N255" s="29">
        <f>SUM(H255:M255)</f>
        <v>2071.4759933</v>
      </c>
      <c r="O255" s="30">
        <f t="shared" si="104"/>
        <v>2536.7605735350799</v>
      </c>
      <c r="P255" s="31">
        <f t="shared" si="105"/>
        <v>1.7331861479155258E-2</v>
      </c>
    </row>
    <row r="256" spans="2:16" ht="45" x14ac:dyDescent="0.25">
      <c r="B256" s="23">
        <v>37</v>
      </c>
      <c r="C256" s="24" t="s">
        <v>540</v>
      </c>
      <c r="D256" s="25" t="s">
        <v>541</v>
      </c>
      <c r="E256" s="25" t="s">
        <v>410</v>
      </c>
      <c r="F256" s="26">
        <v>2.5000000000000001E-2</v>
      </c>
      <c r="G256" s="27">
        <v>1</v>
      </c>
      <c r="H256" s="28">
        <f>F256 * G256 * 7035.64992</f>
        <v>175.89124800000002</v>
      </c>
      <c r="I256" s="28">
        <f>F256 * G256 * 2800.790426</f>
        <v>70.019760650000009</v>
      </c>
      <c r="J256" s="28">
        <f>F256 * G256 * 0</f>
        <v>0</v>
      </c>
      <c r="K256" s="28">
        <f>F256 * G256 * 6697.938724</f>
        <v>167.44846810000001</v>
      </c>
      <c r="L256" s="28">
        <f>F256 * G256 * 1736.109802</f>
        <v>43.40274505</v>
      </c>
      <c r="M256" s="28">
        <f>F256 * G256 * 1407.129984</f>
        <v>35.178249600000001</v>
      </c>
      <c r="N256" s="29">
        <f>SUM(H256:M256)</f>
        <v>491.94047140000009</v>
      </c>
      <c r="O256" s="30">
        <f t="shared" si="104"/>
        <v>602.43768038351118</v>
      </c>
      <c r="P256" s="31">
        <f t="shared" si="105"/>
        <v>4.1160236149839517E-3</v>
      </c>
    </row>
    <row r="257" spans="2:16" x14ac:dyDescent="0.25">
      <c r="B257" s="33"/>
      <c r="C257" s="34" t="s">
        <v>542</v>
      </c>
      <c r="D257" s="96" t="s">
        <v>543</v>
      </c>
      <c r="E257" s="96"/>
      <c r="F257" s="96"/>
      <c r="G257" s="96"/>
      <c r="H257" s="96"/>
      <c r="I257" s="96"/>
      <c r="J257" s="96"/>
      <c r="K257" s="96"/>
      <c r="L257" s="96"/>
      <c r="M257" s="96"/>
      <c r="N257" s="96"/>
      <c r="O257" s="96"/>
      <c r="P257" s="96"/>
    </row>
    <row r="258" spans="2:16" x14ac:dyDescent="0.25">
      <c r="B258" s="23">
        <v>38</v>
      </c>
      <c r="C258" s="24" t="s">
        <v>544</v>
      </c>
      <c r="D258" s="25" t="s">
        <v>545</v>
      </c>
      <c r="E258" s="25" t="s">
        <v>546</v>
      </c>
      <c r="F258" s="26">
        <v>0.04</v>
      </c>
      <c r="G258" s="27">
        <v>1</v>
      </c>
      <c r="H258" s="28">
        <f>F258 * G258 * 28382.394744</f>
        <v>1135.2957897600002</v>
      </c>
      <c r="I258" s="28">
        <f>F258 * G258 * 6905.500493</f>
        <v>276.22001971999998</v>
      </c>
      <c r="J258" s="28">
        <f>F258 * G258 * 5.84188</f>
        <v>0.2336752</v>
      </c>
      <c r="K258" s="28">
        <f>F258 * G258 * 27020.039797</f>
        <v>1080.8015918800002</v>
      </c>
      <c r="L258" s="28">
        <f>F258 * G258 * 6542.94657599999</f>
        <v>261.7178630399996</v>
      </c>
      <c r="M258" s="28">
        <f>F258 * G258 * 5676.478949</f>
        <v>227.05915796000002</v>
      </c>
      <c r="N258" s="29">
        <f>SUM(H258:M258)</f>
        <v>2981.3280975599996</v>
      </c>
      <c r="O258" s="30">
        <f t="shared" ref="O258" si="106">N258*1.07*1.09*1.05</f>
        <v>3650.9791081934395</v>
      </c>
      <c r="P258" s="31">
        <f>IF($P$9&gt;0,O258/$P$9/12,0)</f>
        <v>2.4944515783891119E-2</v>
      </c>
    </row>
    <row r="259" spans="2:16" x14ac:dyDescent="0.25">
      <c r="B259" s="33"/>
      <c r="C259" s="34" t="s">
        <v>547</v>
      </c>
      <c r="D259" s="96" t="s">
        <v>548</v>
      </c>
      <c r="E259" s="96"/>
      <c r="F259" s="96"/>
      <c r="G259" s="96"/>
      <c r="H259" s="96"/>
      <c r="I259" s="96"/>
      <c r="J259" s="96"/>
      <c r="K259" s="96"/>
      <c r="L259" s="96"/>
      <c r="M259" s="96"/>
      <c r="N259" s="96"/>
      <c r="O259" s="96"/>
      <c r="P259" s="96"/>
    </row>
    <row r="260" spans="2:16" ht="30" x14ac:dyDescent="0.25">
      <c r="B260" s="23">
        <v>39</v>
      </c>
      <c r="C260" s="24" t="s">
        <v>549</v>
      </c>
      <c r="D260" s="25" t="s">
        <v>550</v>
      </c>
      <c r="E260" s="25" t="s">
        <v>551</v>
      </c>
      <c r="F260" s="26">
        <v>0.02</v>
      </c>
      <c r="G260" s="27">
        <v>1</v>
      </c>
      <c r="H260" s="28">
        <f>F260 * G260 * 8311.776</f>
        <v>166.23552000000001</v>
      </c>
      <c r="I260" s="28">
        <f>F260 * G260 * 4588.910651</f>
        <v>91.77821302000001</v>
      </c>
      <c r="J260" s="28">
        <f>F260 * G260 * 0</f>
        <v>0</v>
      </c>
      <c r="K260" s="28">
        <f>F260 * G260 * 7912.810752</f>
        <v>158.25621504</v>
      </c>
      <c r="L260" s="28">
        <f>F260 * G260 * 2185.417227</f>
        <v>43.708344539999999</v>
      </c>
      <c r="M260" s="28">
        <f>F260 * G260 * 1662.3552</f>
        <v>33.247104</v>
      </c>
      <c r="N260" s="29">
        <f>SUM(H260:M260)</f>
        <v>493.22539660000001</v>
      </c>
      <c r="O260" s="30">
        <f t="shared" ref="O260:O261" si="107">N260*1.07*1.09*1.05</f>
        <v>604.01121905730906</v>
      </c>
      <c r="P260" s="31">
        <f t="shared" ref="P260:P261" si="108">IF($P$9&gt;0,O260/$P$9/12,0)</f>
        <v>4.1267744736226738E-3</v>
      </c>
    </row>
    <row r="261" spans="2:16" ht="45" x14ac:dyDescent="0.25">
      <c r="B261" s="23">
        <v>40</v>
      </c>
      <c r="C261" s="24" t="s">
        <v>552</v>
      </c>
      <c r="D261" s="25" t="s">
        <v>409</v>
      </c>
      <c r="E261" s="25" t="s">
        <v>410</v>
      </c>
      <c r="F261" s="26">
        <v>0.02</v>
      </c>
      <c r="G261" s="27">
        <v>1</v>
      </c>
      <c r="H261" s="28">
        <f>F261 * G261 * 42305.214</f>
        <v>846.10428000000002</v>
      </c>
      <c r="I261" s="28">
        <f>F261 * G261 * 52444.762752</f>
        <v>1048.8952550400002</v>
      </c>
      <c r="J261" s="28">
        <f>F261 * G261 * 0</f>
        <v>0</v>
      </c>
      <c r="K261" s="28">
        <f>F261 * G261 * 40274.563728</f>
        <v>805.49127456000008</v>
      </c>
      <c r="L261" s="28">
        <f>F261 * G261 * 14177.57675</f>
        <v>283.551535</v>
      </c>
      <c r="M261" s="28">
        <f>F261 * G261 * 8461.0428</f>
        <v>169.220856</v>
      </c>
      <c r="N261" s="29">
        <f>SUM(H261:M261)</f>
        <v>3153.2632006000003</v>
      </c>
      <c r="O261" s="30">
        <f t="shared" si="107"/>
        <v>3861.5334144027706</v>
      </c>
      <c r="P261" s="31">
        <f t="shared" si="108"/>
        <v>2.6383082003790349E-2</v>
      </c>
    </row>
    <row r="262" spans="2:16" x14ac:dyDescent="0.25">
      <c r="B262" s="33"/>
      <c r="C262" s="34" t="s">
        <v>553</v>
      </c>
      <c r="D262" s="96" t="s">
        <v>554</v>
      </c>
      <c r="E262" s="96"/>
      <c r="F262" s="96"/>
      <c r="G262" s="96"/>
      <c r="H262" s="96"/>
      <c r="I262" s="96"/>
      <c r="J262" s="96"/>
      <c r="K262" s="96"/>
      <c r="L262" s="96"/>
      <c r="M262" s="96"/>
      <c r="N262" s="96"/>
      <c r="O262" s="96"/>
      <c r="P262" s="96"/>
    </row>
    <row r="263" spans="2:16" ht="45" x14ac:dyDescent="0.25">
      <c r="B263" s="23">
        <v>41</v>
      </c>
      <c r="C263" s="24" t="s">
        <v>555</v>
      </c>
      <c r="D263" s="25" t="s">
        <v>556</v>
      </c>
      <c r="E263" s="25" t="s">
        <v>354</v>
      </c>
      <c r="F263" s="26">
        <v>7.0000000000000007E-2</v>
      </c>
      <c r="G263" s="27">
        <v>1</v>
      </c>
      <c r="H263" s="28">
        <f>F263 * G263 * 15490.128</f>
        <v>1084.3089600000001</v>
      </c>
      <c r="I263" s="28">
        <f>F263 * G263 * 39029.430146</f>
        <v>2732.0601102200003</v>
      </c>
      <c r="J263" s="28">
        <f>F263 * G263 * 0</f>
        <v>0</v>
      </c>
      <c r="K263" s="28">
        <f>F263 * G263 * 14746.601856</f>
        <v>1032.26212992</v>
      </c>
      <c r="L263" s="28">
        <f>F263 * G263 * 7272.9468</f>
        <v>509.10627600000004</v>
      </c>
      <c r="M263" s="28">
        <f>F263 * G263 * 3098.0256</f>
        <v>216.86179200000001</v>
      </c>
      <c r="N263" s="29">
        <f>SUM(H263:M263)</f>
        <v>5574.5992681400003</v>
      </c>
      <c r="O263" s="30">
        <f t="shared" ref="O263:O264" si="109">N263*1.07*1.09*1.05</f>
        <v>6826.7378827532675</v>
      </c>
      <c r="P263" s="31">
        <f t="shared" ref="P263:P264" si="110">IF($P$9&gt;0,O263/$P$9/12,0)</f>
        <v>4.6642192634481612E-2</v>
      </c>
    </row>
    <row r="264" spans="2:16" ht="30" x14ac:dyDescent="0.25">
      <c r="B264" s="23">
        <v>42</v>
      </c>
      <c r="C264" s="24" t="s">
        <v>557</v>
      </c>
      <c r="D264" s="25" t="s">
        <v>558</v>
      </c>
      <c r="E264" s="25" t="s">
        <v>559</v>
      </c>
      <c r="F264" s="26">
        <v>7.4999999999999997E-2</v>
      </c>
      <c r="G264" s="27">
        <v>0.2</v>
      </c>
      <c r="H264" s="28">
        <f>F264 * G264 * 22290.672</f>
        <v>334.36007999999998</v>
      </c>
      <c r="I264" s="28">
        <f>F264 * G264 * 43546.01699</f>
        <v>653.19025484999997</v>
      </c>
      <c r="J264" s="28">
        <f>F264 * G264 * 0</f>
        <v>0</v>
      </c>
      <c r="K264" s="28">
        <f>F264 * G264 * 21220.7197439999</f>
        <v>318.31079615999846</v>
      </c>
      <c r="L264" s="28">
        <f>F264 * G264 * 9141.02791699999</f>
        <v>137.11541875499984</v>
      </c>
      <c r="M264" s="28">
        <f>F264 * G264 * 4458.1344</f>
        <v>66.872016000000002</v>
      </c>
      <c r="N264" s="29">
        <f>SUM(H264:M264)</f>
        <v>1509.8485657649983</v>
      </c>
      <c r="O264" s="30">
        <f t="shared" si="109"/>
        <v>1848.9832013643036</v>
      </c>
      <c r="P264" s="31">
        <f t="shared" si="110"/>
        <v>1.2632773095599353E-2</v>
      </c>
    </row>
    <row r="265" spans="2:16" x14ac:dyDescent="0.25">
      <c r="B265" s="33"/>
      <c r="C265" s="34" t="s">
        <v>560</v>
      </c>
      <c r="D265" s="96" t="s">
        <v>561</v>
      </c>
      <c r="E265" s="96"/>
      <c r="F265" s="96"/>
      <c r="G265" s="96"/>
      <c r="H265" s="96"/>
      <c r="I265" s="96"/>
      <c r="J265" s="96"/>
      <c r="K265" s="96"/>
      <c r="L265" s="96"/>
      <c r="M265" s="96"/>
      <c r="N265" s="96"/>
      <c r="O265" s="96"/>
      <c r="P265" s="96"/>
    </row>
    <row r="266" spans="2:16" ht="30" x14ac:dyDescent="0.25">
      <c r="B266" s="23">
        <v>43</v>
      </c>
      <c r="C266" s="24" t="s">
        <v>562</v>
      </c>
      <c r="D266" s="25" t="s">
        <v>563</v>
      </c>
      <c r="E266" s="25" t="s">
        <v>354</v>
      </c>
      <c r="F266" s="26">
        <v>0.02</v>
      </c>
      <c r="G266" s="27">
        <v>1</v>
      </c>
      <c r="H266" s="28">
        <f>F266 * G266 * 12467.664</f>
        <v>249.35328000000001</v>
      </c>
      <c r="I266" s="28">
        <f>F266 * G266 * 38457.477193</f>
        <v>769.14954385999999</v>
      </c>
      <c r="J266" s="28">
        <f>F266 * G266 * 0</f>
        <v>0</v>
      </c>
      <c r="K266" s="28">
        <f>F266 * G266 * 11869.216128</f>
        <v>237.38432256000002</v>
      </c>
      <c r="L266" s="28">
        <f>F266 * G266 * 6593.407519</f>
        <v>131.86815038</v>
      </c>
      <c r="M266" s="28">
        <f>F266 * G266 * 2493.5328</f>
        <v>49.870655999999997</v>
      </c>
      <c r="N266" s="29">
        <f>SUM(H266:M266)</f>
        <v>1437.6259528000003</v>
      </c>
      <c r="O266" s="30">
        <f t="shared" ref="O266:O267" si="111">N266*1.07*1.09*1.05</f>
        <v>1760.5383061881728</v>
      </c>
      <c r="P266" s="31">
        <f t="shared" ref="P266:P267" si="112">IF($P$9&gt;0,O266/$P$9/12,0)</f>
        <v>1.2028492704409368E-2</v>
      </c>
    </row>
    <row r="267" spans="2:16" ht="30" x14ac:dyDescent="0.25">
      <c r="B267" s="23">
        <v>44</v>
      </c>
      <c r="C267" s="24" t="s">
        <v>564</v>
      </c>
      <c r="D267" s="25" t="s">
        <v>565</v>
      </c>
      <c r="E267" s="25" t="s">
        <v>566</v>
      </c>
      <c r="F267" s="26">
        <v>0.02</v>
      </c>
      <c r="G267" s="27">
        <v>1</v>
      </c>
      <c r="H267" s="28">
        <f>F267 * G267 * 40992.168</f>
        <v>819.84335999999996</v>
      </c>
      <c r="I267" s="28">
        <f>F267 * G267 * 27491.308</f>
        <v>549.82616000000007</v>
      </c>
      <c r="J267" s="28">
        <f>F267 * G267 * 0</f>
        <v>0</v>
      </c>
      <c r="K267" s="28">
        <f>F267 * G267 * 39024.543936</f>
        <v>780.49087872000007</v>
      </c>
      <c r="L267" s="28">
        <f>F267 * G267 * 11288.342094</f>
        <v>225.76684187999999</v>
      </c>
      <c r="M267" s="28">
        <f>F267 * G267 * 8198.4336</f>
        <v>163.968672</v>
      </c>
      <c r="N267" s="29">
        <f>SUM(H267:M267)</f>
        <v>2539.8959126</v>
      </c>
      <c r="O267" s="30">
        <f t="shared" si="111"/>
        <v>3110.3946330086496</v>
      </c>
      <c r="P267" s="31">
        <f t="shared" si="112"/>
        <v>2.1251090657597838E-2</v>
      </c>
    </row>
    <row r="268" spans="2:16" x14ac:dyDescent="0.25">
      <c r="B268" s="33"/>
      <c r="C268" s="34" t="s">
        <v>567</v>
      </c>
      <c r="D268" s="96" t="s">
        <v>568</v>
      </c>
      <c r="E268" s="96"/>
      <c r="F268" s="96"/>
      <c r="G268" s="96"/>
      <c r="H268" s="96"/>
      <c r="I268" s="96"/>
      <c r="J268" s="96"/>
      <c r="K268" s="96"/>
      <c r="L268" s="96"/>
      <c r="M268" s="96"/>
      <c r="N268" s="96"/>
      <c r="O268" s="96"/>
      <c r="P268" s="96"/>
    </row>
    <row r="269" spans="2:16" ht="30" x14ac:dyDescent="0.25">
      <c r="B269" s="23">
        <v>45</v>
      </c>
      <c r="C269" s="24" t="s">
        <v>569</v>
      </c>
      <c r="D269" s="25" t="s">
        <v>570</v>
      </c>
      <c r="E269" s="25" t="s">
        <v>551</v>
      </c>
      <c r="F269" s="26">
        <v>0.25</v>
      </c>
      <c r="G269" s="27">
        <v>0.2</v>
      </c>
      <c r="H269" s="28">
        <f>F269 * G269 * 10011.912</f>
        <v>500.59560000000005</v>
      </c>
      <c r="I269" s="28">
        <f>F269 * G269 * 4622.758547</f>
        <v>231.13792735000004</v>
      </c>
      <c r="J269" s="28">
        <f>F269 * G269 * 0</f>
        <v>0</v>
      </c>
      <c r="K269" s="28">
        <f>F269 * G269 * 9531.340224</f>
        <v>476.56701120000002</v>
      </c>
      <c r="L269" s="28">
        <f>F269 * G269 * 2537.431131</f>
        <v>126.87155654999999</v>
      </c>
      <c r="M269" s="28">
        <f>F269 * G269 * 2002.3824</f>
        <v>100.11912000000001</v>
      </c>
      <c r="N269" s="29">
        <f>SUM(H269:M269)</f>
        <v>1435.2912151</v>
      </c>
      <c r="O269" s="30">
        <f t="shared" ref="O269:O271" si="113">N269*1.07*1.09*1.05</f>
        <v>1757.679151379687</v>
      </c>
      <c r="P269" s="31">
        <f t="shared" ref="P269:P271" si="114">IF($P$9&gt;0,O269/$P$9/12,0)</f>
        <v>1.2008958154872011E-2</v>
      </c>
    </row>
    <row r="270" spans="2:16" x14ac:dyDescent="0.25">
      <c r="B270" s="23">
        <v>46</v>
      </c>
      <c r="C270" s="24" t="s">
        <v>571</v>
      </c>
      <c r="D270" s="25" t="s">
        <v>572</v>
      </c>
      <c r="E270" s="25" t="s">
        <v>573</v>
      </c>
      <c r="F270" s="26">
        <v>0.25</v>
      </c>
      <c r="G270" s="27">
        <v>0.2</v>
      </c>
      <c r="H270" s="28">
        <f>F270 * G270 * 9921.54</f>
        <v>496.07700000000006</v>
      </c>
      <c r="I270" s="28">
        <f>F270 * G270 * 8847.1296</f>
        <v>442.35648000000003</v>
      </c>
      <c r="J270" s="28">
        <f>F270 * G270 * 0</f>
        <v>0</v>
      </c>
      <c r="K270" s="28">
        <f>F270 * G270 * 9445.30608</f>
        <v>472.26530400000001</v>
      </c>
      <c r="L270" s="28">
        <f>F270 * G270 * 2962.46744599999</f>
        <v>148.12337229999952</v>
      </c>
      <c r="M270" s="28">
        <f>F270 * G270 * 1984.308</f>
        <v>99.215400000000002</v>
      </c>
      <c r="N270" s="29">
        <f>SUM(H270:M270)</f>
        <v>1658.0375562999998</v>
      </c>
      <c r="O270" s="30">
        <f t="shared" si="113"/>
        <v>2030.4576620083246</v>
      </c>
      <c r="P270" s="31">
        <f t="shared" si="114"/>
        <v>1.3872657634447847E-2</v>
      </c>
    </row>
    <row r="271" spans="2:16" x14ac:dyDescent="0.25">
      <c r="B271" s="23">
        <v>47</v>
      </c>
      <c r="C271" s="24" t="s">
        <v>574</v>
      </c>
      <c r="D271" s="25" t="s">
        <v>575</v>
      </c>
      <c r="E271" s="25" t="s">
        <v>576</v>
      </c>
      <c r="F271" s="26">
        <v>0.25</v>
      </c>
      <c r="G271" s="27">
        <v>0.2</v>
      </c>
      <c r="H271" s="28">
        <f>F271 * G271 * 10767.528</f>
        <v>538.37639999999999</v>
      </c>
      <c r="I271" s="28">
        <f>F271 * G271 * 9431.620036</f>
        <v>471.58100180000002</v>
      </c>
      <c r="J271" s="28">
        <f>F271 * G271 * 0</f>
        <v>0</v>
      </c>
      <c r="K271" s="28">
        <f>F271 * G271 * 10250.686656</f>
        <v>512.53433280000002</v>
      </c>
      <c r="L271" s="28">
        <f>F271 * G271 * 3197.232642</f>
        <v>159.86163210000001</v>
      </c>
      <c r="M271" s="28">
        <f>F271 * G271 * 2153.5056</f>
        <v>107.67528</v>
      </c>
      <c r="N271" s="29">
        <f>SUM(H271:M271)</f>
        <v>1790.0286467000001</v>
      </c>
      <c r="O271" s="30">
        <f t="shared" si="113"/>
        <v>2192.0959311785209</v>
      </c>
      <c r="P271" s="31">
        <f t="shared" si="114"/>
        <v>1.4977015735963222E-2</v>
      </c>
    </row>
    <row r="272" spans="2:16" x14ac:dyDescent="0.25">
      <c r="B272" s="33"/>
      <c r="C272" s="34" t="s">
        <v>577</v>
      </c>
      <c r="D272" s="96" t="s">
        <v>578</v>
      </c>
      <c r="E272" s="96"/>
      <c r="F272" s="96"/>
      <c r="G272" s="96"/>
      <c r="H272" s="96"/>
      <c r="I272" s="96"/>
      <c r="J272" s="96"/>
      <c r="K272" s="96"/>
      <c r="L272" s="96"/>
      <c r="M272" s="96"/>
      <c r="N272" s="96"/>
      <c r="O272" s="96"/>
      <c r="P272" s="96"/>
    </row>
    <row r="273" spans="2:16" ht="45" x14ac:dyDescent="0.25">
      <c r="B273" s="23">
        <v>48</v>
      </c>
      <c r="C273" s="24" t="s">
        <v>579</v>
      </c>
      <c r="D273" s="25" t="s">
        <v>580</v>
      </c>
      <c r="E273" s="25" t="s">
        <v>581</v>
      </c>
      <c r="F273" s="26">
        <v>0.11</v>
      </c>
      <c r="G273" s="27">
        <v>0.2</v>
      </c>
      <c r="H273" s="28">
        <f>F273 * G273 * 7791.500928</f>
        <v>171.41302041600002</v>
      </c>
      <c r="I273" s="28">
        <f>F273 * G273 * 15709.470241</f>
        <v>345.60834530200003</v>
      </c>
      <c r="J273" s="28">
        <f>F273 * G273 * 554.248365</f>
        <v>12.193464030000001</v>
      </c>
      <c r="K273" s="28">
        <f>F273 * G273 * 7581.753826</f>
        <v>166.79858417200001</v>
      </c>
      <c r="L273" s="28">
        <f>F273 * G273 * 3321.882203</f>
        <v>73.081408466000013</v>
      </c>
      <c r="M273" s="28">
        <f>F273 * G273 * 1592.805426</f>
        <v>35.041719372000003</v>
      </c>
      <c r="N273" s="29">
        <f>SUM(H273:M273)</f>
        <v>804.13654175800002</v>
      </c>
      <c r="O273" s="30">
        <f t="shared" ref="O273" si="115">N273*1.07*1.09*1.05</f>
        <v>984.75767108497337</v>
      </c>
      <c r="P273" s="31">
        <f>IF($P$9&gt;0,O273/$P$9/12,0)</f>
        <v>6.7281412853227125E-3</v>
      </c>
    </row>
    <row r="274" spans="2:16" ht="12.75" customHeight="1" x14ac:dyDescent="0.25">
      <c r="B274" s="21"/>
      <c r="C274" s="22" t="s">
        <v>582</v>
      </c>
      <c r="D274" s="95" t="s">
        <v>583</v>
      </c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</row>
    <row r="275" spans="2:16" x14ac:dyDescent="0.25">
      <c r="B275" s="33"/>
      <c r="C275" s="34" t="s">
        <v>584</v>
      </c>
      <c r="D275" s="96" t="s">
        <v>585</v>
      </c>
      <c r="E275" s="96"/>
      <c r="F275" s="96"/>
      <c r="G275" s="96"/>
      <c r="H275" s="96"/>
      <c r="I275" s="96"/>
      <c r="J275" s="96"/>
      <c r="K275" s="96"/>
      <c r="L275" s="96"/>
      <c r="M275" s="96"/>
      <c r="N275" s="96"/>
      <c r="O275" s="96"/>
      <c r="P275" s="96"/>
    </row>
    <row r="276" spans="2:16" x14ac:dyDescent="0.25">
      <c r="B276" s="23">
        <v>49</v>
      </c>
      <c r="C276" s="24" t="s">
        <v>586</v>
      </c>
      <c r="D276" s="25" t="s">
        <v>587</v>
      </c>
      <c r="E276" s="25" t="s">
        <v>588</v>
      </c>
      <c r="F276" s="26">
        <v>0.1</v>
      </c>
      <c r="G276" s="27">
        <v>0.5</v>
      </c>
      <c r="H276" s="28">
        <f>F276 * G276 * 13483.970784</f>
        <v>674.19853920000003</v>
      </c>
      <c r="I276" s="28">
        <f>F276 * G276 * 14524.026081</f>
        <v>726.20130405000009</v>
      </c>
      <c r="J276" s="28">
        <f t="shared" ref="J276:J283" si="116">F276 * G276 * 0</f>
        <v>0</v>
      </c>
      <c r="K276" s="28">
        <f>F276 * G276 * 12836.740187</f>
        <v>641.83700935000002</v>
      </c>
      <c r="L276" s="28">
        <f>F276 * G276 * 4288.69739</f>
        <v>214.43486950000002</v>
      </c>
      <c r="M276" s="28">
        <f>F276 * G276 * 2696.794157</f>
        <v>134.83970785</v>
      </c>
      <c r="N276" s="29">
        <f t="shared" ref="N276:N283" si="117">SUM(H276:M276)</f>
        <v>2391.5114299500005</v>
      </c>
      <c r="O276" s="30">
        <f t="shared" ref="O276:O283" si="118">N276*1.07*1.09*1.05</f>
        <v>2928.6807697882205</v>
      </c>
      <c r="P276" s="31">
        <f t="shared" ref="P276:P283" si="119">IF($P$9&gt;0,O276/$P$9/12,0)</f>
        <v>2.0009570453036408E-2</v>
      </c>
    </row>
    <row r="277" spans="2:16" ht="30" x14ac:dyDescent="0.25">
      <c r="B277" s="23">
        <v>50</v>
      </c>
      <c r="C277" s="24" t="s">
        <v>589</v>
      </c>
      <c r="D277" s="25" t="s">
        <v>590</v>
      </c>
      <c r="E277" s="25" t="s">
        <v>591</v>
      </c>
      <c r="F277" s="26">
        <v>0.2</v>
      </c>
      <c r="G277" s="27">
        <v>1</v>
      </c>
      <c r="H277" s="28">
        <f>F277 * G277 * 1207.05984</f>
        <v>241.411968</v>
      </c>
      <c r="I277" s="28">
        <f>F277 * G277 * 341.362155</f>
        <v>68.272430999999997</v>
      </c>
      <c r="J277" s="28">
        <f t="shared" si="116"/>
        <v>0</v>
      </c>
      <c r="K277" s="28">
        <f>F277 * G277 * 1149.120968</f>
        <v>229.8241936</v>
      </c>
      <c r="L277" s="28">
        <f>F277 * G277 * 283.242011</f>
        <v>56.6484022</v>
      </c>
      <c r="M277" s="28">
        <f>F277 * G277 * 241.411968</f>
        <v>48.282393600000006</v>
      </c>
      <c r="N277" s="29">
        <f t="shared" si="117"/>
        <v>644.43938839999987</v>
      </c>
      <c r="O277" s="30">
        <f t="shared" si="118"/>
        <v>789.19014162546591</v>
      </c>
      <c r="P277" s="31">
        <f t="shared" si="119"/>
        <v>5.3919689378909147E-3</v>
      </c>
    </row>
    <row r="278" spans="2:16" ht="30" x14ac:dyDescent="0.25">
      <c r="B278" s="23">
        <v>51</v>
      </c>
      <c r="C278" s="24" t="s">
        <v>592</v>
      </c>
      <c r="D278" s="25" t="s">
        <v>593</v>
      </c>
      <c r="E278" s="25" t="s">
        <v>591</v>
      </c>
      <c r="F278" s="26">
        <v>0.2</v>
      </c>
      <c r="G278" s="27">
        <v>1</v>
      </c>
      <c r="H278" s="28">
        <f>F278 * G278 * 1117.648</f>
        <v>223.52959999999999</v>
      </c>
      <c r="I278" s="28">
        <f>F278 * G278 * 342.907016</f>
        <v>68.581403199999997</v>
      </c>
      <c r="J278" s="28">
        <f t="shared" si="116"/>
        <v>0</v>
      </c>
      <c r="K278" s="28">
        <f>F278 * G278 * 1064.000896</f>
        <v>212.8001792</v>
      </c>
      <c r="L278" s="28">
        <f>F278 * G278 * 265.078371</f>
        <v>53.015674200000007</v>
      </c>
      <c r="M278" s="28">
        <f>F278 * G278 * 223.5296</f>
        <v>44.705919999999999</v>
      </c>
      <c r="N278" s="29">
        <f t="shared" si="117"/>
        <v>602.63277659999994</v>
      </c>
      <c r="O278" s="30">
        <f t="shared" si="118"/>
        <v>737.99313771600907</v>
      </c>
      <c r="P278" s="31">
        <f t="shared" si="119"/>
        <v>5.0421766125277332E-3</v>
      </c>
    </row>
    <row r="279" spans="2:16" x14ac:dyDescent="0.25">
      <c r="B279" s="23">
        <v>52</v>
      </c>
      <c r="C279" s="24" t="s">
        <v>594</v>
      </c>
      <c r="D279" s="25" t="s">
        <v>595</v>
      </c>
      <c r="E279" s="25" t="s">
        <v>596</v>
      </c>
      <c r="F279" s="26">
        <v>1</v>
      </c>
      <c r="G279" s="27">
        <v>1</v>
      </c>
      <c r="H279" s="28">
        <f>F279 * G279 * 11.905848</f>
        <v>11.905848000000001</v>
      </c>
      <c r="I279" s="28">
        <f>F279 * G279 * 1.322743</f>
        <v>1.322743</v>
      </c>
      <c r="J279" s="28">
        <f t="shared" si="116"/>
        <v>0</v>
      </c>
      <c r="K279" s="28">
        <f>F279 * G279 * 11.334367</f>
        <v>11.334367</v>
      </c>
      <c r="L279" s="28">
        <f>F279 * G279 * 2.579111</f>
        <v>2.5791110000000002</v>
      </c>
      <c r="M279" s="28">
        <f>F279 * G279 * 2.38117</f>
        <v>2.38117</v>
      </c>
      <c r="N279" s="29">
        <f t="shared" si="117"/>
        <v>29.523239000000004</v>
      </c>
      <c r="O279" s="30">
        <f t="shared" si="118"/>
        <v>36.154601327985013</v>
      </c>
      <c r="P279" s="31">
        <f t="shared" si="119"/>
        <v>2.470184015740552E-4</v>
      </c>
    </row>
    <row r="280" spans="2:16" x14ac:dyDescent="0.25">
      <c r="B280" s="23">
        <v>53</v>
      </c>
      <c r="C280" s="24" t="s">
        <v>597</v>
      </c>
      <c r="D280" s="25" t="s">
        <v>598</v>
      </c>
      <c r="E280" s="25" t="s">
        <v>599</v>
      </c>
      <c r="F280" s="26">
        <v>2</v>
      </c>
      <c r="G280" s="27">
        <v>1</v>
      </c>
      <c r="H280" s="28">
        <f>F280 * G280 * 29.76462</f>
        <v>59.529240000000001</v>
      </c>
      <c r="I280" s="28">
        <f>F280 * G280 * 151.618376</f>
        <v>303.23675200000002</v>
      </c>
      <c r="J280" s="28">
        <f t="shared" si="116"/>
        <v>0</v>
      </c>
      <c r="K280" s="28">
        <f>F280 * G280 * 28.335918</f>
        <v>56.671835999999999</v>
      </c>
      <c r="L280" s="28">
        <f>F280 * G280 * 22.020486</f>
        <v>44.040971999999996</v>
      </c>
      <c r="M280" s="28">
        <f>F280 * G280 * 5.952924</f>
        <v>11.905848000000001</v>
      </c>
      <c r="N280" s="29">
        <f t="shared" si="117"/>
        <v>475.38464800000003</v>
      </c>
      <c r="O280" s="30">
        <f t="shared" si="118"/>
        <v>582.16317071052015</v>
      </c>
      <c r="P280" s="31">
        <f t="shared" si="119"/>
        <v>3.9775024644756922E-3</v>
      </c>
    </row>
    <row r="281" spans="2:16" x14ac:dyDescent="0.25">
      <c r="B281" s="23">
        <v>54</v>
      </c>
      <c r="C281" s="24" t="s">
        <v>600</v>
      </c>
      <c r="D281" s="25" t="s">
        <v>601</v>
      </c>
      <c r="E281" s="25" t="s">
        <v>602</v>
      </c>
      <c r="F281" s="26">
        <v>0.02</v>
      </c>
      <c r="G281" s="27">
        <v>1</v>
      </c>
      <c r="H281" s="28">
        <f>F281 * G281 * 11358.178992</f>
        <v>227.16357983999998</v>
      </c>
      <c r="I281" s="28">
        <f>F281 * G281 * 13748.492008</f>
        <v>274.96984015999999</v>
      </c>
      <c r="J281" s="28">
        <f t="shared" si="116"/>
        <v>0</v>
      </c>
      <c r="K281" s="28">
        <f>F281 * G281 * 10812.986401</f>
        <v>216.25972802000001</v>
      </c>
      <c r="L281" s="28">
        <f>F281 * G281 * 3771.564027</f>
        <v>75.431280540000003</v>
      </c>
      <c r="M281" s="28">
        <f>F281 * G281 * 2271.635798</f>
        <v>45.432715959999996</v>
      </c>
      <c r="N281" s="29">
        <f t="shared" si="117"/>
        <v>839.25714452</v>
      </c>
      <c r="O281" s="30">
        <f t="shared" si="118"/>
        <v>1027.7668880363599</v>
      </c>
      <c r="P281" s="31">
        <f t="shared" si="119"/>
        <v>7.0219923480935196E-3</v>
      </c>
    </row>
    <row r="282" spans="2:16" x14ac:dyDescent="0.25">
      <c r="B282" s="23">
        <v>55</v>
      </c>
      <c r="C282" s="24" t="s">
        <v>603</v>
      </c>
      <c r="D282" s="25" t="s">
        <v>604</v>
      </c>
      <c r="E282" s="25" t="s">
        <v>605</v>
      </c>
      <c r="F282" s="26">
        <v>0.02</v>
      </c>
      <c r="G282" s="27">
        <v>1</v>
      </c>
      <c r="H282" s="28">
        <f>F282 * G282 * 21192.40944</f>
        <v>423.8481888</v>
      </c>
      <c r="I282" s="28">
        <f>F282 * G282 * 61049.344017</f>
        <v>1220.9868803400002</v>
      </c>
      <c r="J282" s="28">
        <f t="shared" si="116"/>
        <v>0</v>
      </c>
      <c r="K282" s="28">
        <f>F282 * G282 * 20175.173787</f>
        <v>403.50347574</v>
      </c>
      <c r="L282" s="28">
        <f>F282 * G282 * 10753.77736</f>
        <v>215.07554720000002</v>
      </c>
      <c r="M282" s="28">
        <f>F282 * G282 * 4238.481888</f>
        <v>84.769637760000009</v>
      </c>
      <c r="N282" s="29">
        <f t="shared" si="117"/>
        <v>2348.1837298400001</v>
      </c>
      <c r="O282" s="30">
        <f t="shared" si="118"/>
        <v>2875.6210183180124</v>
      </c>
      <c r="P282" s="31">
        <f t="shared" si="119"/>
        <v>1.9647051312604278E-2</v>
      </c>
    </row>
    <row r="283" spans="2:16" x14ac:dyDescent="0.25">
      <c r="B283" s="23">
        <v>56</v>
      </c>
      <c r="C283" s="24" t="s">
        <v>606</v>
      </c>
      <c r="D283" s="25" t="s">
        <v>607</v>
      </c>
      <c r="E283" s="25" t="s">
        <v>605</v>
      </c>
      <c r="F283" s="26">
        <v>0.02</v>
      </c>
      <c r="G283" s="27">
        <v>1</v>
      </c>
      <c r="H283" s="28">
        <f>F283 * G283 * 14525.13456</f>
        <v>290.50269120000002</v>
      </c>
      <c r="I283" s="28">
        <f>F283 * G283 * 64360.19633</f>
        <v>1287.2039265999999</v>
      </c>
      <c r="J283" s="28">
        <f t="shared" si="116"/>
        <v>0</v>
      </c>
      <c r="K283" s="28">
        <f>F283 * G283 * 13827.928101</f>
        <v>276.55856202000001</v>
      </c>
      <c r="L283" s="28">
        <f>F283 * G283 * 9734.892194</f>
        <v>194.69784387999999</v>
      </c>
      <c r="M283" s="28">
        <f>F283 * G283 * 2905.026912</f>
        <v>58.100538239999999</v>
      </c>
      <c r="N283" s="29">
        <f t="shared" si="117"/>
        <v>2107.06356194</v>
      </c>
      <c r="O283" s="30">
        <f t="shared" si="118"/>
        <v>2580.3416439051534</v>
      </c>
      <c r="P283" s="31">
        <f t="shared" si="119"/>
        <v>1.7629619605266003E-2</v>
      </c>
    </row>
    <row r="284" spans="2:16" x14ac:dyDescent="0.25">
      <c r="B284" s="33"/>
      <c r="C284" s="34" t="s">
        <v>608</v>
      </c>
      <c r="D284" s="96" t="s">
        <v>609</v>
      </c>
      <c r="E284" s="96"/>
      <c r="F284" s="96"/>
      <c r="G284" s="96"/>
      <c r="H284" s="96"/>
      <c r="I284" s="96"/>
      <c r="J284" s="96"/>
      <c r="K284" s="96"/>
      <c r="L284" s="96"/>
      <c r="M284" s="96"/>
      <c r="N284" s="96"/>
      <c r="O284" s="96"/>
      <c r="P284" s="96"/>
    </row>
    <row r="285" spans="2:16" ht="30" x14ac:dyDescent="0.25">
      <c r="B285" s="23">
        <v>57</v>
      </c>
      <c r="C285" s="24" t="s">
        <v>610</v>
      </c>
      <c r="D285" s="25" t="s">
        <v>611</v>
      </c>
      <c r="E285" s="25" t="s">
        <v>612</v>
      </c>
      <c r="F285" s="26">
        <v>0.05</v>
      </c>
      <c r="G285" s="27">
        <v>1</v>
      </c>
      <c r="H285" s="28">
        <f>F285 * G285 * 1646.97564</f>
        <v>82.348782000000014</v>
      </c>
      <c r="I285" s="28">
        <f>F285 * G285 * 238.853909</f>
        <v>11.94269545</v>
      </c>
      <c r="J285" s="28">
        <f t="shared" ref="J285:J291" si="120">F285 * G285 * 0</f>
        <v>0</v>
      </c>
      <c r="K285" s="28">
        <f>F285 * G285 * 1567.920809</f>
        <v>78.396040450000001</v>
      </c>
      <c r="L285" s="28">
        <f>F285 * G285 * 362.643788</f>
        <v>18.132189399999998</v>
      </c>
      <c r="M285" s="28">
        <f>F285 * G285 * 329.395128</f>
        <v>16.469756400000001</v>
      </c>
      <c r="N285" s="29">
        <f t="shared" ref="N285:N291" si="121">SUM(H285:M285)</f>
        <v>207.2894637</v>
      </c>
      <c r="O285" s="30">
        <f t="shared" ref="O285:O291" si="122">N285*1.07*1.09*1.05</f>
        <v>253.84978658897555</v>
      </c>
      <c r="P285" s="31">
        <f t="shared" ref="P285:P291" si="123">IF($P$9&gt;0,O285/$P$9/12,0)</f>
        <v>1.7343731148983053E-3</v>
      </c>
    </row>
    <row r="286" spans="2:16" ht="30" x14ac:dyDescent="0.25">
      <c r="B286" s="23">
        <v>58</v>
      </c>
      <c r="C286" s="24" t="s">
        <v>613</v>
      </c>
      <c r="D286" s="25" t="s">
        <v>614</v>
      </c>
      <c r="E286" s="25" t="s">
        <v>591</v>
      </c>
      <c r="F286" s="26">
        <v>0.5</v>
      </c>
      <c r="G286" s="27">
        <v>1</v>
      </c>
      <c r="H286" s="28">
        <f>F286 * G286 * 871.76544</f>
        <v>435.88272000000001</v>
      </c>
      <c r="I286" s="28">
        <f>F286 * G286 * 258.115755</f>
        <v>129.05787749999999</v>
      </c>
      <c r="J286" s="28">
        <f t="shared" si="120"/>
        <v>0</v>
      </c>
      <c r="K286" s="28">
        <f>F286 * G286 * 829.920699</f>
        <v>414.96034950000001</v>
      </c>
      <c r="L286" s="28">
        <f>F286 * G286 * 205.779198</f>
        <v>102.889599</v>
      </c>
      <c r="M286" s="28">
        <f>F286 * G286 * 174.353088</f>
        <v>87.176544000000007</v>
      </c>
      <c r="N286" s="29">
        <f t="shared" si="121"/>
        <v>1169.9670899999999</v>
      </c>
      <c r="O286" s="30">
        <f t="shared" si="122"/>
        <v>1432.7592479203502</v>
      </c>
      <c r="P286" s="31">
        <f t="shared" si="123"/>
        <v>9.7890140192967556E-3</v>
      </c>
    </row>
    <row r="287" spans="2:16" x14ac:dyDescent="0.25">
      <c r="B287" s="23">
        <v>59</v>
      </c>
      <c r="C287" s="24" t="s">
        <v>615</v>
      </c>
      <c r="D287" s="25" t="s">
        <v>616</v>
      </c>
      <c r="E287" s="25" t="s">
        <v>617</v>
      </c>
      <c r="F287" s="26">
        <v>0.1</v>
      </c>
      <c r="G287" s="27">
        <v>1</v>
      </c>
      <c r="H287" s="28">
        <f>F287 * G287 * 645.75792</f>
        <v>64.575792000000007</v>
      </c>
      <c r="I287" s="28">
        <f>F287 * G287 * 3041.693093</f>
        <v>304.16930930000001</v>
      </c>
      <c r="J287" s="28">
        <f t="shared" si="120"/>
        <v>0</v>
      </c>
      <c r="K287" s="28">
        <f>F287 * G287 * 614.76154</f>
        <v>61.476154000000001</v>
      </c>
      <c r="L287" s="28">
        <f>F287 * G287 * 451.732317999999</f>
        <v>45.173231799999904</v>
      </c>
      <c r="M287" s="28">
        <f>F287 * G287 * 129.151584</f>
        <v>12.915158400000003</v>
      </c>
      <c r="N287" s="29">
        <f t="shared" si="121"/>
        <v>488.30964549999987</v>
      </c>
      <c r="O287" s="30">
        <f t="shared" si="122"/>
        <v>597.9913165239825</v>
      </c>
      <c r="P287" s="31">
        <f t="shared" si="123"/>
        <v>4.0856448069469435E-3</v>
      </c>
    </row>
    <row r="288" spans="2:16" x14ac:dyDescent="0.25">
      <c r="B288" s="23">
        <v>60</v>
      </c>
      <c r="C288" s="24" t="s">
        <v>618</v>
      </c>
      <c r="D288" s="25" t="s">
        <v>619</v>
      </c>
      <c r="E288" s="25" t="s">
        <v>620</v>
      </c>
      <c r="F288" s="26">
        <v>0.08</v>
      </c>
      <c r="G288" s="27">
        <v>0.5</v>
      </c>
      <c r="H288" s="28">
        <f>F288 * G288 * 2976.462</f>
        <v>119.05848</v>
      </c>
      <c r="I288" s="28">
        <f>F288 * G288 * 14652.033233</f>
        <v>586.08132932000001</v>
      </c>
      <c r="J288" s="28">
        <f t="shared" si="120"/>
        <v>0</v>
      </c>
      <c r="K288" s="28">
        <f>F288 * G288 * 2833.591824</f>
        <v>113.34367296000001</v>
      </c>
      <c r="L288" s="28">
        <f>F288 * G288 * 2148.51914099999</f>
        <v>85.940765639999611</v>
      </c>
      <c r="M288" s="28">
        <f>F288 * G288 * 595.2924</f>
        <v>23.811696000000001</v>
      </c>
      <c r="N288" s="29">
        <f t="shared" si="121"/>
        <v>928.23594391999973</v>
      </c>
      <c r="O288" s="30">
        <f t="shared" si="122"/>
        <v>1136.7316604635907</v>
      </c>
      <c r="P288" s="31">
        <f t="shared" si="123"/>
        <v>7.7664703100734514E-3</v>
      </c>
    </row>
    <row r="289" spans="2:16" x14ac:dyDescent="0.25">
      <c r="B289" s="23">
        <v>61</v>
      </c>
      <c r="C289" s="24" t="s">
        <v>621</v>
      </c>
      <c r="D289" s="25" t="s">
        <v>622</v>
      </c>
      <c r="E289" s="25" t="s">
        <v>623</v>
      </c>
      <c r="F289" s="26">
        <v>0.08</v>
      </c>
      <c r="G289" s="27">
        <v>0.5</v>
      </c>
      <c r="H289" s="28">
        <f>F289 * G289 * 7691.177808</f>
        <v>307.64711232000002</v>
      </c>
      <c r="I289" s="28">
        <f>F289 * G289 * 6158.78033</f>
        <v>246.35121319999999</v>
      </c>
      <c r="J289" s="28">
        <f t="shared" si="120"/>
        <v>0</v>
      </c>
      <c r="K289" s="28">
        <f>F289 * G289 * 7322.001273</f>
        <v>292.88005091999997</v>
      </c>
      <c r="L289" s="28">
        <f>F289 * G289 * 2223.055738</f>
        <v>88.922229520000002</v>
      </c>
      <c r="M289" s="28">
        <f>F289 * G289 * 1538.235562</f>
        <v>61.529422480000001</v>
      </c>
      <c r="N289" s="29">
        <f t="shared" si="121"/>
        <v>997.33002843999998</v>
      </c>
      <c r="O289" s="30">
        <f t="shared" si="122"/>
        <v>1221.3453127780508</v>
      </c>
      <c r="P289" s="31">
        <f t="shared" si="123"/>
        <v>8.3445745728324642E-3</v>
      </c>
    </row>
    <row r="290" spans="2:16" x14ac:dyDescent="0.25">
      <c r="B290" s="23">
        <v>62</v>
      </c>
      <c r="C290" s="24" t="s">
        <v>624</v>
      </c>
      <c r="D290" s="25" t="s">
        <v>625</v>
      </c>
      <c r="E290" s="25" t="s">
        <v>504</v>
      </c>
      <c r="F290" s="26">
        <v>0.02</v>
      </c>
      <c r="G290" s="27">
        <v>1</v>
      </c>
      <c r="H290" s="28">
        <f>F290 * G290 * 19943.8866</f>
        <v>398.87773200000004</v>
      </c>
      <c r="I290" s="28">
        <f>F290 * G290 * 3938.128817</f>
        <v>78.762576339999995</v>
      </c>
      <c r="J290" s="28">
        <f t="shared" si="120"/>
        <v>0</v>
      </c>
      <c r="K290" s="28">
        <f>F290 * G290 * 18986.580043</f>
        <v>379.73160086000001</v>
      </c>
      <c r="L290" s="28">
        <f>F290 * G290 * 4501.202523</f>
        <v>90.024050459999998</v>
      </c>
      <c r="M290" s="28">
        <f>F290 * G290 * 3988.77732</f>
        <v>79.77554640000001</v>
      </c>
      <c r="N290" s="29">
        <f t="shared" si="121"/>
        <v>1027.1715060600002</v>
      </c>
      <c r="O290" s="30">
        <f t="shared" si="122"/>
        <v>1257.8896338936672</v>
      </c>
      <c r="P290" s="31">
        <f t="shared" si="123"/>
        <v>8.5942556495700265E-3</v>
      </c>
    </row>
    <row r="291" spans="2:16" ht="60" x14ac:dyDescent="0.25">
      <c r="B291" s="23">
        <v>63</v>
      </c>
      <c r="C291" s="24" t="s">
        <v>626</v>
      </c>
      <c r="D291" s="25" t="s">
        <v>627</v>
      </c>
      <c r="E291" s="25" t="s">
        <v>628</v>
      </c>
      <c r="F291" s="26">
        <v>0.06</v>
      </c>
      <c r="G291" s="27">
        <v>1</v>
      </c>
      <c r="H291" s="28">
        <f>F291 * G291 * 9104.005104</f>
        <v>546.24030624</v>
      </c>
      <c r="I291" s="28">
        <f>F291 * G291 * 34625.161108</f>
        <v>2077.5096664799999</v>
      </c>
      <c r="J291" s="28">
        <f t="shared" si="120"/>
        <v>0</v>
      </c>
      <c r="K291" s="28">
        <f>F291 * G291 * 8667.012859</f>
        <v>520.02077154000006</v>
      </c>
      <c r="L291" s="28">
        <f>F291 * G291 * 5501.59880199999</f>
        <v>330.09592811999943</v>
      </c>
      <c r="M291" s="28">
        <f>F291 * G291 * 1820.801021</f>
        <v>109.24806126</v>
      </c>
      <c r="N291" s="29">
        <f t="shared" si="121"/>
        <v>3583.1147336399995</v>
      </c>
      <c r="O291" s="30">
        <f t="shared" si="122"/>
        <v>4387.9360495365481</v>
      </c>
      <c r="P291" s="31">
        <f t="shared" si="123"/>
        <v>2.9979612811460114E-2</v>
      </c>
    </row>
    <row r="292" spans="2:16" ht="12.75" customHeight="1" x14ac:dyDescent="0.25">
      <c r="B292" s="21"/>
      <c r="C292" s="22" t="s">
        <v>629</v>
      </c>
      <c r="D292" s="95" t="s">
        <v>630</v>
      </c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</row>
    <row r="293" spans="2:16" x14ac:dyDescent="0.25">
      <c r="B293" s="33"/>
      <c r="C293" s="34" t="s">
        <v>631</v>
      </c>
      <c r="D293" s="96" t="s">
        <v>632</v>
      </c>
      <c r="E293" s="96"/>
      <c r="F293" s="96"/>
      <c r="G293" s="96"/>
      <c r="H293" s="96"/>
      <c r="I293" s="96"/>
      <c r="J293" s="96"/>
      <c r="K293" s="96"/>
      <c r="L293" s="96"/>
      <c r="M293" s="96"/>
      <c r="N293" s="96"/>
      <c r="O293" s="96"/>
      <c r="P293" s="96"/>
    </row>
    <row r="294" spans="2:16" ht="45" x14ac:dyDescent="0.25">
      <c r="B294" s="23">
        <v>64</v>
      </c>
      <c r="C294" s="24" t="s">
        <v>633</v>
      </c>
      <c r="D294" s="25" t="s">
        <v>634</v>
      </c>
      <c r="E294" s="25" t="s">
        <v>635</v>
      </c>
      <c r="F294" s="26">
        <v>0.02</v>
      </c>
      <c r="G294" s="27">
        <v>1</v>
      </c>
      <c r="H294" s="28">
        <f>F294 * G294 * 40290.68</f>
        <v>805.81360000000006</v>
      </c>
      <c r="I294" s="28">
        <f>F294 * G294 * 19914.359159</f>
        <v>398.28718318</v>
      </c>
      <c r="J294" s="28">
        <f>F294 * G294 * 0</f>
        <v>0</v>
      </c>
      <c r="K294" s="28">
        <f>F294 * G294 * 38356.72736</f>
        <v>767.13454719999993</v>
      </c>
      <c r="L294" s="28">
        <f>F294 * G294 * 10348.985485</f>
        <v>206.9797097</v>
      </c>
      <c r="M294" s="28">
        <f>F294 * G294 * 8058.136</f>
        <v>161.16272000000001</v>
      </c>
      <c r="N294" s="29">
        <f>SUM(H294:M294)</f>
        <v>2339.3777600799999</v>
      </c>
      <c r="O294" s="30">
        <f t="shared" ref="O294" si="124">N294*1.07*1.09*1.05</f>
        <v>2864.8370956603694</v>
      </c>
      <c r="P294" s="31">
        <f>IF($P$9&gt;0,O294/$P$9/12,0)</f>
        <v>1.9573372520977628E-2</v>
      </c>
    </row>
    <row r="295" spans="2:16" x14ac:dyDescent="0.25">
      <c r="B295" s="33"/>
      <c r="C295" s="34" t="s">
        <v>636</v>
      </c>
      <c r="D295" s="96" t="s">
        <v>637</v>
      </c>
      <c r="E295" s="96"/>
      <c r="F295" s="96"/>
      <c r="G295" s="96"/>
      <c r="H295" s="96"/>
      <c r="I295" s="96"/>
      <c r="J295" s="96"/>
      <c r="K295" s="96"/>
      <c r="L295" s="96"/>
      <c r="M295" s="96"/>
      <c r="N295" s="96"/>
      <c r="O295" s="96"/>
      <c r="P295" s="96"/>
    </row>
    <row r="296" spans="2:16" x14ac:dyDescent="0.25">
      <c r="B296" s="23">
        <v>65</v>
      </c>
      <c r="C296" s="24" t="s">
        <v>638</v>
      </c>
      <c r="D296" s="25" t="s">
        <v>639</v>
      </c>
      <c r="E296" s="25" t="s">
        <v>640</v>
      </c>
      <c r="F296" s="26">
        <v>0.04</v>
      </c>
      <c r="G296" s="27">
        <v>1</v>
      </c>
      <c r="H296" s="28">
        <f>F296 * G296 * 11905.848</f>
        <v>476.23392000000001</v>
      </c>
      <c r="I296" s="28">
        <f>F296 * G296 * 13548.654536</f>
        <v>541.94618144000003</v>
      </c>
      <c r="J296" s="28">
        <f>F296 * G296 * 0</f>
        <v>0</v>
      </c>
      <c r="K296" s="28">
        <f>F296 * G296 * 11334.367296</f>
        <v>453.37469184000003</v>
      </c>
      <c r="L296" s="28">
        <f>F296 * G296 * 3862.83133199999</f>
        <v>154.51325327999962</v>
      </c>
      <c r="M296" s="28">
        <f>F296 * G296 * 2381.1696</f>
        <v>95.246784000000005</v>
      </c>
      <c r="N296" s="29">
        <f>SUM(H296:M296)</f>
        <v>1721.3148305599996</v>
      </c>
      <c r="O296" s="30">
        <f t="shared" ref="O296" si="125">N296*1.07*1.09*1.05</f>
        <v>2107.9479612262339</v>
      </c>
      <c r="P296" s="31">
        <f>IF($P$9&gt;0,O296/$P$9/12,0)</f>
        <v>1.4402093146034778E-2</v>
      </c>
    </row>
    <row r="297" spans="2:16" x14ac:dyDescent="0.25">
      <c r="B297" s="33"/>
      <c r="C297" s="34" t="s">
        <v>641</v>
      </c>
      <c r="D297" s="96" t="s">
        <v>642</v>
      </c>
      <c r="E297" s="96"/>
      <c r="F297" s="96"/>
      <c r="G297" s="96"/>
      <c r="H297" s="96"/>
      <c r="I297" s="96"/>
      <c r="J297" s="96"/>
      <c r="K297" s="96"/>
      <c r="L297" s="96"/>
      <c r="M297" s="96"/>
      <c r="N297" s="96"/>
      <c r="O297" s="96"/>
      <c r="P297" s="96"/>
    </row>
    <row r="298" spans="2:16" x14ac:dyDescent="0.25">
      <c r="B298" s="33"/>
      <c r="C298" s="34" t="s">
        <v>643</v>
      </c>
      <c r="D298" s="98" t="s">
        <v>644</v>
      </c>
      <c r="E298" s="98"/>
      <c r="F298" s="98"/>
      <c r="G298" s="98"/>
      <c r="H298" s="98"/>
      <c r="I298" s="98"/>
      <c r="J298" s="98"/>
      <c r="K298" s="98"/>
      <c r="L298" s="98"/>
      <c r="M298" s="98"/>
      <c r="N298" s="98"/>
      <c r="O298" s="98"/>
      <c r="P298" s="98"/>
    </row>
    <row r="299" spans="2:16" x14ac:dyDescent="0.25">
      <c r="B299" s="23">
        <v>66</v>
      </c>
      <c r="C299" s="24" t="s">
        <v>645</v>
      </c>
      <c r="D299" s="25" t="s">
        <v>646</v>
      </c>
      <c r="E299" s="25" t="s">
        <v>354</v>
      </c>
      <c r="F299" s="26">
        <v>0.04</v>
      </c>
      <c r="G299" s="27">
        <v>1</v>
      </c>
      <c r="H299" s="28">
        <f>F299 * G299 * 10318.4016</f>
        <v>412.736064</v>
      </c>
      <c r="I299" s="28">
        <f>F299 * G299 * 13194.635254</f>
        <v>527.78541016000008</v>
      </c>
      <c r="J299" s="28">
        <f>F299 * G299 * 0</f>
        <v>0</v>
      </c>
      <c r="K299" s="28">
        <f>F299 * G299 * 9823.118323</f>
        <v>392.92473292000005</v>
      </c>
      <c r="L299" s="28">
        <f>F299 * G299 * 3500.296294</f>
        <v>140.01185176000001</v>
      </c>
      <c r="M299" s="28">
        <f>F299 * G299 * 2063.68032</f>
        <v>82.547212799999997</v>
      </c>
      <c r="N299" s="29">
        <f>SUM(H299:M299)</f>
        <v>1556.0052716399998</v>
      </c>
      <c r="O299" s="30">
        <f t="shared" ref="O299:O300" si="126">N299*1.07*1.09*1.05</f>
        <v>1905.5073957294189</v>
      </c>
      <c r="P299" s="31">
        <f t="shared" ref="P299:P300" si="127">IF($P$9&gt;0,O299/$P$9/12,0)</f>
        <v>1.3018962283959301E-2</v>
      </c>
    </row>
    <row r="300" spans="2:16" x14ac:dyDescent="0.25">
      <c r="B300" s="23">
        <v>67</v>
      </c>
      <c r="C300" s="24" t="s">
        <v>647</v>
      </c>
      <c r="D300" s="25" t="s">
        <v>648</v>
      </c>
      <c r="E300" s="25" t="s">
        <v>354</v>
      </c>
      <c r="F300" s="26">
        <v>0.04</v>
      </c>
      <c r="G300" s="27">
        <v>1</v>
      </c>
      <c r="H300" s="28">
        <f>F300 * G300 * 13620.2368</f>
        <v>544.80947200000003</v>
      </c>
      <c r="I300" s="28">
        <f>F300 * G300 * 12612.124291</f>
        <v>504.48497164000003</v>
      </c>
      <c r="J300" s="28">
        <f>F300 * G300 * 0</f>
        <v>0</v>
      </c>
      <c r="K300" s="28">
        <f>F300 * G300 * 12966.465434</f>
        <v>518.65861735999999</v>
      </c>
      <c r="L300" s="28">
        <f>F300 * G300 * 4115.87678499999</f>
        <v>164.63507139999962</v>
      </c>
      <c r="M300" s="28">
        <f>F300 * G300 * 2724.04736</f>
        <v>108.96189440000001</v>
      </c>
      <c r="N300" s="29">
        <f>SUM(H300:M300)</f>
        <v>1841.5500267999996</v>
      </c>
      <c r="O300" s="30">
        <f t="shared" si="126"/>
        <v>2255.1897860696818</v>
      </c>
      <c r="P300" s="31">
        <f t="shared" si="127"/>
        <v>1.5408090692176231E-2</v>
      </c>
    </row>
    <row r="301" spans="2:16" x14ac:dyDescent="0.25">
      <c r="B301" s="33"/>
      <c r="C301" s="34" t="s">
        <v>649</v>
      </c>
      <c r="D301" s="96" t="s">
        <v>650</v>
      </c>
      <c r="E301" s="96"/>
      <c r="F301" s="96"/>
      <c r="G301" s="96"/>
      <c r="H301" s="96"/>
      <c r="I301" s="96"/>
      <c r="J301" s="96"/>
      <c r="K301" s="96"/>
      <c r="L301" s="96"/>
      <c r="M301" s="96"/>
      <c r="N301" s="96"/>
      <c r="O301" s="96"/>
      <c r="P301" s="96"/>
    </row>
    <row r="302" spans="2:16" ht="45" x14ac:dyDescent="0.25">
      <c r="B302" s="23">
        <v>68</v>
      </c>
      <c r="C302" s="24" t="s">
        <v>651</v>
      </c>
      <c r="D302" s="25" t="s">
        <v>652</v>
      </c>
      <c r="E302" s="25" t="s">
        <v>653</v>
      </c>
      <c r="F302" s="26">
        <v>0.04</v>
      </c>
      <c r="G302" s="27">
        <v>1</v>
      </c>
      <c r="H302" s="28">
        <f>F302 * G302 * 16441.487916</f>
        <v>657.65951663999999</v>
      </c>
      <c r="I302" s="28">
        <f>F302 * G302 * 1848.453923</f>
        <v>73.938156919999997</v>
      </c>
      <c r="J302" s="28">
        <f>F302 * G302 * 0</f>
        <v>0</v>
      </c>
      <c r="K302" s="28">
        <f>F302 * G302 * 15652.296496</f>
        <v>626.0918598400001</v>
      </c>
      <c r="L302" s="28">
        <f>F302 * G302 * 3563.935026</f>
        <v>142.55740104</v>
      </c>
      <c r="M302" s="28">
        <f>F302 * G302 * 3288.297583</f>
        <v>131.53190332</v>
      </c>
      <c r="N302" s="29">
        <f>SUM(H302:M302)</f>
        <v>1631.7788377600002</v>
      </c>
      <c r="O302" s="30">
        <f t="shared" ref="O302" si="128">N302*1.07*1.09*1.05</f>
        <v>1998.300841403463</v>
      </c>
      <c r="P302" s="31">
        <f>IF($P$9&gt;0,O302/$P$9/12,0)</f>
        <v>1.3652953194798331E-2</v>
      </c>
    </row>
    <row r="303" spans="2:16" x14ac:dyDescent="0.25">
      <c r="B303" s="33"/>
      <c r="C303" s="34" t="s">
        <v>654</v>
      </c>
      <c r="D303" s="96" t="s">
        <v>655</v>
      </c>
      <c r="E303" s="96"/>
      <c r="F303" s="96"/>
      <c r="G303" s="96"/>
      <c r="H303" s="96"/>
      <c r="I303" s="96"/>
      <c r="J303" s="96"/>
      <c r="K303" s="96"/>
      <c r="L303" s="96"/>
      <c r="M303" s="96"/>
      <c r="N303" s="96"/>
      <c r="O303" s="96"/>
      <c r="P303" s="96"/>
    </row>
    <row r="304" spans="2:16" x14ac:dyDescent="0.25">
      <c r="B304" s="23">
        <v>69</v>
      </c>
      <c r="C304" s="24" t="s">
        <v>656</v>
      </c>
      <c r="D304" s="25" t="s">
        <v>657</v>
      </c>
      <c r="E304" s="25" t="s">
        <v>52</v>
      </c>
      <c r="F304" s="26">
        <v>0.12</v>
      </c>
      <c r="G304" s="27">
        <v>1</v>
      </c>
      <c r="H304" s="28">
        <f>F304 * G304 * 9065.403</f>
        <v>1087.84836</v>
      </c>
      <c r="I304" s="28">
        <f>F304 * G304 * 1498.700867</f>
        <v>179.84410403999999</v>
      </c>
      <c r="J304" s="28">
        <f>F304 * G304 * 0</f>
        <v>0</v>
      </c>
      <c r="K304" s="28">
        <f>F304 * G304 * 8630.263656</f>
        <v>1035.63163872</v>
      </c>
      <c r="L304" s="28">
        <f>F304 * G304 * 2015.40859</f>
        <v>241.84903079999998</v>
      </c>
      <c r="M304" s="28">
        <f>F304 * G304 * 1813.0806</f>
        <v>217.569672</v>
      </c>
      <c r="N304" s="29">
        <f>SUM(H304:M304)</f>
        <v>2762.7428055599999</v>
      </c>
      <c r="O304" s="30">
        <f t="shared" ref="O304" si="129">N304*1.07*1.09*1.05</f>
        <v>3383.2962808308598</v>
      </c>
      <c r="P304" s="31">
        <f>IF($P$9&gt;0,O304/$P$9/12,0)</f>
        <v>2.3115631445101661E-2</v>
      </c>
    </row>
    <row r="305" spans="2:16" x14ac:dyDescent="0.25">
      <c r="B305" s="33"/>
      <c r="C305" s="34" t="s">
        <v>658</v>
      </c>
      <c r="D305" s="96" t="s">
        <v>659</v>
      </c>
      <c r="E305" s="96"/>
      <c r="F305" s="96"/>
      <c r="G305" s="96"/>
      <c r="H305" s="96"/>
      <c r="I305" s="96"/>
      <c r="J305" s="96"/>
      <c r="K305" s="96"/>
      <c r="L305" s="96"/>
      <c r="M305" s="96"/>
      <c r="N305" s="96"/>
      <c r="O305" s="96"/>
      <c r="P305" s="96"/>
    </row>
    <row r="306" spans="2:16" ht="30" x14ac:dyDescent="0.25">
      <c r="B306" s="23">
        <v>70</v>
      </c>
      <c r="C306" s="24" t="s">
        <v>660</v>
      </c>
      <c r="D306" s="25" t="s">
        <v>661</v>
      </c>
      <c r="E306" s="25" t="s">
        <v>551</v>
      </c>
      <c r="F306" s="26">
        <v>0.14000000000000001</v>
      </c>
      <c r="G306" s="27">
        <v>1</v>
      </c>
      <c r="H306" s="28">
        <f>F306 * G306 * 7655.2292</f>
        <v>1071.732088</v>
      </c>
      <c r="I306" s="28">
        <f>F306 * G306 * 2353.71078</f>
        <v>329.51950920000002</v>
      </c>
      <c r="J306" s="28">
        <f>F306 * G306 * 0</f>
        <v>0</v>
      </c>
      <c r="K306" s="28">
        <f>F306 * G306 * 7287.778198</f>
        <v>1020.2889477200001</v>
      </c>
      <c r="L306" s="28">
        <f>F306 * G306 * 1816.155409</f>
        <v>254.26175726000002</v>
      </c>
      <c r="M306" s="28">
        <f>F306 * G306 * 1531.04584</f>
        <v>214.34641760000002</v>
      </c>
      <c r="N306" s="29">
        <f>SUM(H306:M306)</f>
        <v>2890.1487197800006</v>
      </c>
      <c r="O306" s="30">
        <f t="shared" ref="O306:O308" si="130">N306*1.07*1.09*1.05</f>
        <v>3539.3194744733864</v>
      </c>
      <c r="P306" s="31">
        <f t="shared" ref="P306:P308" si="131">IF($P$9&gt;0,O306/$P$9/12,0)</f>
        <v>2.4181625771865941E-2</v>
      </c>
    </row>
    <row r="307" spans="2:16" ht="30" x14ac:dyDescent="0.25">
      <c r="B307" s="23">
        <v>71</v>
      </c>
      <c r="C307" s="24" t="s">
        <v>662</v>
      </c>
      <c r="D307" s="25" t="s">
        <v>663</v>
      </c>
      <c r="E307" s="25" t="s">
        <v>664</v>
      </c>
      <c r="F307" s="26">
        <v>0.02</v>
      </c>
      <c r="G307" s="27">
        <v>1</v>
      </c>
      <c r="H307" s="28">
        <f>F307 * G307 * 2498.02216</f>
        <v>49.9604432</v>
      </c>
      <c r="I307" s="28">
        <f>F307 * G307 * 541.648865</f>
        <v>10.8329773</v>
      </c>
      <c r="J307" s="28">
        <f>F307 * G307 * 0</f>
        <v>0</v>
      </c>
      <c r="K307" s="28">
        <f>F307 * G307 * 2378.117096</f>
        <v>47.562341920000001</v>
      </c>
      <c r="L307" s="28">
        <f>F307 * G307 * 568.867753</f>
        <v>11.377355059999999</v>
      </c>
      <c r="M307" s="28">
        <f>F307 * G307 * 499.604432</f>
        <v>9.9920886400000004</v>
      </c>
      <c r="N307" s="29">
        <f>SUM(H307:M307)</f>
        <v>129.72520612</v>
      </c>
      <c r="O307" s="30">
        <f t="shared" si="130"/>
        <v>158.86343329264383</v>
      </c>
      <c r="P307" s="31">
        <f t="shared" si="131"/>
        <v>1.0853996426214358E-3</v>
      </c>
    </row>
    <row r="308" spans="2:16" ht="30" x14ac:dyDescent="0.25">
      <c r="B308" s="23">
        <v>72</v>
      </c>
      <c r="C308" s="24" t="s">
        <v>665</v>
      </c>
      <c r="D308" s="25" t="s">
        <v>666</v>
      </c>
      <c r="E308" s="25" t="s">
        <v>667</v>
      </c>
      <c r="F308" s="26">
        <v>0.02</v>
      </c>
      <c r="G308" s="27">
        <v>1</v>
      </c>
      <c r="H308" s="28">
        <f>F308 * G308 * 29058.848</f>
        <v>581.17696000000001</v>
      </c>
      <c r="I308" s="28">
        <f>F308 * G308 * 340976.675578</f>
        <v>6819.533511560001</v>
      </c>
      <c r="J308" s="28">
        <f>F308 * G308 * 0</f>
        <v>0</v>
      </c>
      <c r="K308" s="28">
        <f>F308 * G308 * 27664.023296</f>
        <v>553.28046591999998</v>
      </c>
      <c r="L308" s="28">
        <f>F308 * G308 * 41758.4524209999</f>
        <v>835.16904841999803</v>
      </c>
      <c r="M308" s="28">
        <f>F308 * G308 * 5811.76959999999</f>
        <v>116.23539199999979</v>
      </c>
      <c r="N308" s="29">
        <f>SUM(H308:M308)</f>
        <v>8905.3953778999985</v>
      </c>
      <c r="O308" s="30">
        <f t="shared" si="130"/>
        <v>10905.68076070701</v>
      </c>
      <c r="P308" s="31">
        <f t="shared" si="131"/>
        <v>7.4510677220539265E-2</v>
      </c>
    </row>
    <row r="309" spans="2:16" ht="12.75" customHeight="1" x14ac:dyDescent="0.25">
      <c r="B309" s="21"/>
      <c r="C309" s="22" t="s">
        <v>19</v>
      </c>
      <c r="D309" s="95" t="s">
        <v>20</v>
      </c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</row>
    <row r="310" spans="2:16" x14ac:dyDescent="0.25">
      <c r="B310" s="33"/>
      <c r="C310" s="34" t="s">
        <v>668</v>
      </c>
      <c r="D310" s="96" t="s">
        <v>669</v>
      </c>
      <c r="E310" s="96"/>
      <c r="F310" s="96"/>
      <c r="G310" s="96"/>
      <c r="H310" s="96"/>
      <c r="I310" s="96"/>
      <c r="J310" s="96"/>
      <c r="K310" s="96"/>
      <c r="L310" s="96"/>
      <c r="M310" s="96"/>
      <c r="N310" s="96"/>
      <c r="O310" s="96"/>
      <c r="P310" s="96"/>
    </row>
    <row r="311" spans="2:16" x14ac:dyDescent="0.25">
      <c r="B311" s="23">
        <v>73</v>
      </c>
      <c r="C311" s="24" t="s">
        <v>670</v>
      </c>
      <c r="D311" s="25" t="s">
        <v>671</v>
      </c>
      <c r="E311" s="25" t="s">
        <v>672</v>
      </c>
      <c r="F311" s="26">
        <v>0.08</v>
      </c>
      <c r="G311" s="27">
        <v>2</v>
      </c>
      <c r="H311" s="28">
        <f>F311 * G311 * 4344.792</f>
        <v>695.16672000000005</v>
      </c>
      <c r="I311" s="28">
        <f>F311 * G311 * 16595.354548</f>
        <v>2655.25672768</v>
      </c>
      <c r="J311" s="28">
        <f>F311 * G311 * 0</f>
        <v>0</v>
      </c>
      <c r="K311" s="28">
        <f>F311 * G311 * 4136.241984</f>
        <v>661.79871744000002</v>
      </c>
      <c r="L311" s="28">
        <f>F311 * G311 * 2633.020796</f>
        <v>421.28332735999999</v>
      </c>
      <c r="M311" s="28">
        <f>F311 * G311 * 868.9584</f>
        <v>139.033344</v>
      </c>
      <c r="N311" s="29">
        <f>SUM(H311:M311)</f>
        <v>4572.538836480001</v>
      </c>
      <c r="O311" s="30">
        <f t="shared" ref="O311" si="132">N311*1.07*1.09*1.05</f>
        <v>5599.5996472359584</v>
      </c>
      <c r="P311" s="31">
        <f>IF($P$9&gt;0,O311/$P$9/12,0)</f>
        <v>3.8258039184744595E-2</v>
      </c>
    </row>
    <row r="312" spans="2:16" x14ac:dyDescent="0.25">
      <c r="B312" s="33"/>
      <c r="C312" s="34" t="s">
        <v>673</v>
      </c>
      <c r="D312" s="96" t="s">
        <v>674</v>
      </c>
      <c r="E312" s="96"/>
      <c r="F312" s="96"/>
      <c r="G312" s="96"/>
      <c r="H312" s="96"/>
      <c r="I312" s="96"/>
      <c r="J312" s="96"/>
      <c r="K312" s="96"/>
      <c r="L312" s="96"/>
      <c r="M312" s="96"/>
      <c r="N312" s="96"/>
      <c r="O312" s="96"/>
      <c r="P312" s="96"/>
    </row>
    <row r="313" spans="2:16" ht="45" x14ac:dyDescent="0.25">
      <c r="B313" s="23">
        <v>74</v>
      </c>
      <c r="C313" s="24" t="s">
        <v>675</v>
      </c>
      <c r="D313" s="25" t="s">
        <v>676</v>
      </c>
      <c r="E313" s="25" t="s">
        <v>677</v>
      </c>
      <c r="F313" s="26">
        <v>1</v>
      </c>
      <c r="G313" s="27">
        <v>2</v>
      </c>
      <c r="H313" s="28">
        <f>F313 * G313 * 302.1801</f>
        <v>604.36019999999996</v>
      </c>
      <c r="I313" s="28">
        <f>F313 * G313 * 80.943845</f>
        <v>161.88768999999999</v>
      </c>
      <c r="J313" s="28">
        <f>F313 * G313 * 0</f>
        <v>0</v>
      </c>
      <c r="K313" s="28">
        <f>F313 * G313 * 287.675455</f>
        <v>575.35091</v>
      </c>
      <c r="L313" s="28">
        <f>F313 * G313 * 70.433937</f>
        <v>140.867874</v>
      </c>
      <c r="M313" s="28">
        <f>F313 * G313 * 60.43602</f>
        <v>120.87204</v>
      </c>
      <c r="N313" s="29">
        <f>SUM(H313:M313)</f>
        <v>1603.338714</v>
      </c>
      <c r="O313" s="30">
        <f t="shared" ref="O313:O315" si="133">N313*1.07*1.09*1.05</f>
        <v>1963.4726392451105</v>
      </c>
      <c r="P313" s="31">
        <f t="shared" ref="P313:P315" si="134">IF($P$9&gt;0,O313/$P$9/12,0)</f>
        <v>1.3414997125284295E-2</v>
      </c>
    </row>
    <row r="314" spans="2:16" ht="45" x14ac:dyDescent="0.25">
      <c r="B314" s="23">
        <v>75</v>
      </c>
      <c r="C314" s="24" t="s">
        <v>678</v>
      </c>
      <c r="D314" s="25" t="s">
        <v>679</v>
      </c>
      <c r="E314" s="25" t="s">
        <v>677</v>
      </c>
      <c r="F314" s="26">
        <v>1</v>
      </c>
      <c r="G314" s="27">
        <v>2</v>
      </c>
      <c r="H314" s="28">
        <f>F314 * G314 * 54.78216</f>
        <v>109.56432</v>
      </c>
      <c r="I314" s="28">
        <f>F314 * G314 * 1.8028</f>
        <v>3.6055999999999999</v>
      </c>
      <c r="J314" s="28">
        <f>F314 * G314 * 0</f>
        <v>0</v>
      </c>
      <c r="K314" s="28">
        <f>F314 * G314 * 52.152616</f>
        <v>104.305232</v>
      </c>
      <c r="L314" s="28">
        <f>F314 * G314 * 11.417446</f>
        <v>22.834892</v>
      </c>
      <c r="M314" s="28">
        <f>F314 * G314 * 10.956432</f>
        <v>21.912863999999999</v>
      </c>
      <c r="N314" s="29">
        <f>SUM(H314:M314)</f>
        <v>262.22290799999996</v>
      </c>
      <c r="O314" s="30">
        <f t="shared" si="133"/>
        <v>321.12210648041997</v>
      </c>
      <c r="P314" s="31">
        <f t="shared" si="134"/>
        <v>2.1939965188189719E-3</v>
      </c>
    </row>
    <row r="315" spans="2:16" ht="45" x14ac:dyDescent="0.25">
      <c r="B315" s="23">
        <v>76</v>
      </c>
      <c r="C315" s="24" t="s">
        <v>680</v>
      </c>
      <c r="D315" s="25" t="s">
        <v>681</v>
      </c>
      <c r="E315" s="25" t="s">
        <v>682</v>
      </c>
      <c r="F315" s="26">
        <v>0.04</v>
      </c>
      <c r="G315" s="27">
        <v>2</v>
      </c>
      <c r="H315" s="28">
        <f>F315 * G315 * 6964.92108</f>
        <v>557.19368640000005</v>
      </c>
      <c r="I315" s="28">
        <f>F315 * G315 * 4773.564245</f>
        <v>381.8851396</v>
      </c>
      <c r="J315" s="28">
        <f>F315 * G315 * 0</f>
        <v>0</v>
      </c>
      <c r="K315" s="28">
        <f>F315 * G315 * 6630.604868</f>
        <v>530.44838944000003</v>
      </c>
      <c r="L315" s="28">
        <f>F315 * G315 * 1928.75446999999</f>
        <v>154.30035759999922</v>
      </c>
      <c r="M315" s="28">
        <f>F315 * G315 * 1392.984216</f>
        <v>111.43873728000001</v>
      </c>
      <c r="N315" s="29">
        <f>SUM(H315:M315)</f>
        <v>1735.2663103199991</v>
      </c>
      <c r="O315" s="30">
        <f t="shared" si="133"/>
        <v>2125.033152612526</v>
      </c>
      <c r="P315" s="31">
        <f t="shared" si="134"/>
        <v>1.4518823977293092E-2</v>
      </c>
    </row>
    <row r="316" spans="2:16" x14ac:dyDescent="0.25">
      <c r="B316" s="33"/>
      <c r="C316" s="34" t="s">
        <v>683</v>
      </c>
      <c r="D316" s="96" t="s">
        <v>684</v>
      </c>
      <c r="E316" s="96"/>
      <c r="F316" s="96"/>
      <c r="G316" s="96"/>
      <c r="H316" s="96"/>
      <c r="I316" s="96"/>
      <c r="J316" s="96"/>
      <c r="K316" s="96"/>
      <c r="L316" s="96"/>
      <c r="M316" s="96"/>
      <c r="N316" s="96"/>
      <c r="O316" s="96"/>
      <c r="P316" s="96"/>
    </row>
    <row r="317" spans="2:16" ht="30" x14ac:dyDescent="0.25">
      <c r="B317" s="23">
        <v>77</v>
      </c>
      <c r="C317" s="24" t="s">
        <v>685</v>
      </c>
      <c r="D317" s="25" t="s">
        <v>686</v>
      </c>
      <c r="E317" s="25" t="s">
        <v>23</v>
      </c>
      <c r="F317" s="26">
        <v>0.28000000000000003</v>
      </c>
      <c r="G317" s="27">
        <v>2</v>
      </c>
      <c r="H317" s="28">
        <f>F317 * G317 * 77.388012</f>
        <v>43.337286720000009</v>
      </c>
      <c r="I317" s="28">
        <f>F317 * G317 * 0</f>
        <v>0</v>
      </c>
      <c r="J317" s="28">
        <f>F317 * G317 * 0</f>
        <v>0</v>
      </c>
      <c r="K317" s="28">
        <f>F317 * G317 * 73.673388</f>
        <v>41.257097280000004</v>
      </c>
      <c r="L317" s="28">
        <f>F317 * G317 * 15.861447</f>
        <v>8.8824103200000017</v>
      </c>
      <c r="M317" s="28">
        <f>F317 * G317 * 15.477602</f>
        <v>8.6674571199999999</v>
      </c>
      <c r="N317" s="29">
        <f>SUM(H317:M317)</f>
        <v>102.14425144000002</v>
      </c>
      <c r="O317" s="30">
        <f t="shared" ref="O317:O321" si="135">N317*1.07*1.09*1.05</f>
        <v>125.08738247719565</v>
      </c>
      <c r="P317" s="31">
        <f t="shared" ref="P317:P321" si="136">IF($P$9&gt;0,O317/$P$9/12,0)</f>
        <v>8.5463216690713321E-4</v>
      </c>
    </row>
    <row r="318" spans="2:16" ht="30" x14ac:dyDescent="0.25">
      <c r="B318" s="23">
        <v>78</v>
      </c>
      <c r="C318" s="24" t="s">
        <v>687</v>
      </c>
      <c r="D318" s="25" t="s">
        <v>688</v>
      </c>
      <c r="E318" s="25" t="s">
        <v>23</v>
      </c>
      <c r="F318" s="26">
        <v>3.5</v>
      </c>
      <c r="G318" s="27">
        <v>2</v>
      </c>
      <c r="H318" s="28">
        <f>F318 * G318 * 617.119788</f>
        <v>4319.8385159999998</v>
      </c>
      <c r="I318" s="28">
        <f>F318 * G318 * 0</f>
        <v>0</v>
      </c>
      <c r="J318" s="28">
        <f>F318 * G318 * 0</f>
        <v>0</v>
      </c>
      <c r="K318" s="28">
        <f>F318 * G318 * 587.498038</f>
        <v>4112.4862659999999</v>
      </c>
      <c r="L318" s="28">
        <f>F318 * G318 * 126.484872</f>
        <v>885.39410399999997</v>
      </c>
      <c r="M318" s="28">
        <f>F318 * G318 * 123.423958</f>
        <v>863.96770600000002</v>
      </c>
      <c r="N318" s="29">
        <f>SUM(H318:M318)</f>
        <v>10181.686591999998</v>
      </c>
      <c r="O318" s="30">
        <f t="shared" si="135"/>
        <v>12468.646125862078</v>
      </c>
      <c r="P318" s="31">
        <f t="shared" si="136"/>
        <v>8.5189296041800436E-2</v>
      </c>
    </row>
    <row r="319" spans="2:16" x14ac:dyDescent="0.25">
      <c r="B319" s="23">
        <v>79</v>
      </c>
      <c r="C319" s="24" t="s">
        <v>689</v>
      </c>
      <c r="D319" s="25" t="s">
        <v>690</v>
      </c>
      <c r="E319" s="25" t="s">
        <v>691</v>
      </c>
      <c r="F319" s="26">
        <v>2.4</v>
      </c>
      <c r="G319" s="27">
        <v>2</v>
      </c>
      <c r="H319" s="28">
        <f>F319 * G319 * 306.235552</f>
        <v>1469.9306495999999</v>
      </c>
      <c r="I319" s="28">
        <f>F319 * G319 * 0</f>
        <v>0</v>
      </c>
      <c r="J319" s="28">
        <f>F319 * G319 * 0</f>
        <v>0</v>
      </c>
      <c r="K319" s="28">
        <f>F319 * G319 * 291.536246</f>
        <v>1399.3739808</v>
      </c>
      <c r="L319" s="28">
        <f>F319 * G319 * 62.766039</f>
        <v>301.27698720000001</v>
      </c>
      <c r="M319" s="28">
        <f>F319 * G319 * 61.24711</f>
        <v>293.98612800000001</v>
      </c>
      <c r="N319" s="29">
        <f>SUM(H319:M319)</f>
        <v>3464.5677455999999</v>
      </c>
      <c r="O319" s="30">
        <f t="shared" si="135"/>
        <v>4242.7616297779441</v>
      </c>
      <c r="P319" s="31">
        <f t="shared" si="136"/>
        <v>2.8987740358134131E-2</v>
      </c>
    </row>
    <row r="320" spans="2:16" ht="30" x14ac:dyDescent="0.25">
      <c r="B320" s="23">
        <v>80</v>
      </c>
      <c r="C320" s="24" t="s">
        <v>692</v>
      </c>
      <c r="D320" s="25" t="s">
        <v>693</v>
      </c>
      <c r="E320" s="25" t="s">
        <v>23</v>
      </c>
      <c r="F320" s="26">
        <v>1.6</v>
      </c>
      <c r="G320" s="27">
        <v>2</v>
      </c>
      <c r="H320" s="28">
        <f>F320 * G320 * 894.1184</f>
        <v>2861.1788799999999</v>
      </c>
      <c r="I320" s="28">
        <f>F320 * G320 * 0</f>
        <v>0</v>
      </c>
      <c r="J320" s="28">
        <f>F320 * G320 * 0</f>
        <v>0</v>
      </c>
      <c r="K320" s="28">
        <f>F320 * G320 * 851.200716999999</f>
        <v>2723.8422943999972</v>
      </c>
      <c r="L320" s="28">
        <f>F320 * G320 * 183.258508</f>
        <v>586.42722560000004</v>
      </c>
      <c r="M320" s="28">
        <f>F320 * G320 * 178.82368</f>
        <v>572.23577599999999</v>
      </c>
      <c r="N320" s="29">
        <f>SUM(H320:M320)</f>
        <v>6743.684175999997</v>
      </c>
      <c r="O320" s="30">
        <f t="shared" si="135"/>
        <v>8258.4167971922379</v>
      </c>
      <c r="P320" s="31">
        <f t="shared" si="136"/>
        <v>5.6423825511684823E-2</v>
      </c>
    </row>
    <row r="321" spans="2:16" ht="30" x14ac:dyDescent="0.25">
      <c r="B321" s="23">
        <v>81</v>
      </c>
      <c r="C321" s="24" t="s">
        <v>694</v>
      </c>
      <c r="D321" s="25" t="s">
        <v>695</v>
      </c>
      <c r="E321" s="25" t="s">
        <v>23</v>
      </c>
      <c r="F321" s="26">
        <v>0.5</v>
      </c>
      <c r="G321" s="27">
        <v>2</v>
      </c>
      <c r="H321" s="28">
        <f>F321 * G321 * 670.5888</f>
        <v>670.58879999999999</v>
      </c>
      <c r="I321" s="28">
        <f>F321 * G321 * 0</f>
        <v>0</v>
      </c>
      <c r="J321" s="28">
        <f>F321 * G321 * 0</f>
        <v>0</v>
      </c>
      <c r="K321" s="28">
        <f>F321 * G321 * 638.400538</f>
        <v>638.40053799999998</v>
      </c>
      <c r="L321" s="28">
        <f>F321 * G321 * 137.443881</f>
        <v>137.443881</v>
      </c>
      <c r="M321" s="28">
        <f>F321 * G321 * 134.11776</f>
        <v>134.11776</v>
      </c>
      <c r="N321" s="29">
        <f>SUM(H321:M321)</f>
        <v>1580.5509789999999</v>
      </c>
      <c r="O321" s="30">
        <f t="shared" si="135"/>
        <v>1935.5664371480852</v>
      </c>
      <c r="P321" s="31">
        <f t="shared" si="136"/>
        <v>1.3224334106392864E-2</v>
      </c>
    </row>
    <row r="322" spans="2:16" x14ac:dyDescent="0.25">
      <c r="B322" s="33"/>
      <c r="C322" s="34" t="s">
        <v>696</v>
      </c>
      <c r="D322" s="96" t="s">
        <v>697</v>
      </c>
      <c r="E322" s="96"/>
      <c r="F322" s="96"/>
      <c r="G322" s="96"/>
      <c r="H322" s="96"/>
      <c r="I322" s="96"/>
      <c r="J322" s="96"/>
      <c r="K322" s="96"/>
      <c r="L322" s="96"/>
      <c r="M322" s="96"/>
      <c r="N322" s="96"/>
      <c r="O322" s="96"/>
      <c r="P322" s="96"/>
    </row>
    <row r="323" spans="2:16" ht="30" x14ac:dyDescent="0.25">
      <c r="B323" s="23">
        <v>82</v>
      </c>
      <c r="C323" s="24" t="s">
        <v>698</v>
      </c>
      <c r="D323" s="25" t="s">
        <v>699</v>
      </c>
      <c r="E323" s="25" t="s">
        <v>700</v>
      </c>
      <c r="F323" s="26">
        <v>2.5310000000000001</v>
      </c>
      <c r="G323" s="27">
        <v>2</v>
      </c>
      <c r="H323" s="28">
        <f>F323 * G323 * 670.5888</f>
        <v>3394.5205056</v>
      </c>
      <c r="I323" s="28">
        <f>F323 * G323 * 0</f>
        <v>0</v>
      </c>
      <c r="J323" s="28">
        <f>F323 * G323 * 0</f>
        <v>0</v>
      </c>
      <c r="K323" s="28">
        <f>F323 * G323 * 638.400538</f>
        <v>3231.5835233560001</v>
      </c>
      <c r="L323" s="28">
        <f>F323 * G323 * 137.443881</f>
        <v>695.74092562200008</v>
      </c>
      <c r="M323" s="28">
        <f>F323 * G323 * 134.11776</f>
        <v>678.90410112000006</v>
      </c>
      <c r="N323" s="29">
        <f>SUM(H323:M323)</f>
        <v>8000.7490556980001</v>
      </c>
      <c r="O323" s="30">
        <f t="shared" ref="O323" si="137">N323*1.07*1.09*1.05</f>
        <v>9797.8373048436097</v>
      </c>
      <c r="P323" s="31">
        <f>IF($P$9&gt;0,O323/$P$9/12,0)</f>
        <v>6.6941579246560703E-2</v>
      </c>
    </row>
    <row r="324" spans="2:16" ht="12.75" customHeight="1" x14ac:dyDescent="0.25">
      <c r="B324" s="21"/>
      <c r="C324" s="22" t="s">
        <v>701</v>
      </c>
      <c r="D324" s="95" t="s">
        <v>702</v>
      </c>
      <c r="E324" s="95"/>
      <c r="F324" s="95"/>
      <c r="G324" s="95"/>
      <c r="H324" s="95"/>
      <c r="I324" s="95"/>
      <c r="J324" s="95"/>
      <c r="K324" s="95"/>
      <c r="L324" s="95"/>
      <c r="M324" s="95"/>
      <c r="N324" s="95"/>
      <c r="O324" s="95"/>
      <c r="P324" s="95"/>
    </row>
    <row r="325" spans="2:16" x14ac:dyDescent="0.25">
      <c r="B325" s="33"/>
      <c r="C325" s="34" t="s">
        <v>703</v>
      </c>
      <c r="D325" s="96" t="s">
        <v>704</v>
      </c>
      <c r="E325" s="96"/>
      <c r="F325" s="96"/>
      <c r="G325" s="96"/>
      <c r="H325" s="96"/>
      <c r="I325" s="96"/>
      <c r="J325" s="96"/>
      <c r="K325" s="96"/>
      <c r="L325" s="96"/>
      <c r="M325" s="96"/>
      <c r="N325" s="96"/>
      <c r="O325" s="96"/>
      <c r="P325" s="96"/>
    </row>
    <row r="326" spans="2:16" x14ac:dyDescent="0.25">
      <c r="B326" s="23">
        <v>83</v>
      </c>
      <c r="C326" s="24" t="s">
        <v>705</v>
      </c>
      <c r="D326" s="25" t="s">
        <v>706</v>
      </c>
      <c r="E326" s="25" t="s">
        <v>707</v>
      </c>
      <c r="F326" s="26">
        <v>7.0000000000000007E-2</v>
      </c>
      <c r="G326" s="27">
        <v>1</v>
      </c>
      <c r="H326" s="28">
        <f>F326 * G326 * 28830.912</f>
        <v>2018.1638400000002</v>
      </c>
      <c r="I326" s="28">
        <f>F326 * G326 * 0</f>
        <v>0</v>
      </c>
      <c r="J326" s="28">
        <f>F326 * G326 * 148160.7552</f>
        <v>10371.252864000002</v>
      </c>
      <c r="K326" s="28">
        <f>F326 * G326 * 82991.681472</f>
        <v>5809.4177030400006</v>
      </c>
      <c r="L326" s="28">
        <f>F326 * G326 * 27298.25161</f>
        <v>1910.8776127000001</v>
      </c>
      <c r="M326" s="28">
        <f>F326 * G326 * 17435.2272</f>
        <v>1220.4659040000001</v>
      </c>
      <c r="N326" s="29">
        <f t="shared" ref="N326:N330" si="138">SUM(H326:M326)</f>
        <v>21330.177923740008</v>
      </c>
      <c r="O326" s="30">
        <f t="shared" ref="O326:O330" si="139">N326*1.07*1.09*1.05</f>
        <v>26121.255838080877</v>
      </c>
      <c r="P326" s="31">
        <f t="shared" ref="P326:P330" si="140">IF($P$9&gt;0,O326/$P$9/12,0)</f>
        <v>0.17846776419120056</v>
      </c>
    </row>
    <row r="327" spans="2:16" x14ac:dyDescent="0.25">
      <c r="B327" s="23">
        <v>84</v>
      </c>
      <c r="C327" s="24" t="s">
        <v>708</v>
      </c>
      <c r="D327" s="25" t="s">
        <v>709</v>
      </c>
      <c r="E327" s="25" t="s">
        <v>707</v>
      </c>
      <c r="F327" s="26">
        <v>0.06</v>
      </c>
      <c r="G327" s="27">
        <v>1</v>
      </c>
      <c r="H327" s="28">
        <f>F327 * G327 * 14943.4335</f>
        <v>896.60600999999997</v>
      </c>
      <c r="I327" s="28">
        <f>F327 * G327 * 0</f>
        <v>0</v>
      </c>
      <c r="J327" s="28">
        <f>F327 * G327 * 0</f>
        <v>0</v>
      </c>
      <c r="K327" s="28">
        <f>F327 * G327 * 14226.1486919999</f>
        <v>853.56892151999398</v>
      </c>
      <c r="L327" s="28">
        <f>F327 * G327 * 3062.80613</f>
        <v>183.76836779999999</v>
      </c>
      <c r="M327" s="28">
        <f>F327 * G327 * 2988.6867</f>
        <v>179.321202</v>
      </c>
      <c r="N327" s="29">
        <f t="shared" si="138"/>
        <v>2113.264501319994</v>
      </c>
      <c r="O327" s="30">
        <f t="shared" si="139"/>
        <v>2587.9354072839851</v>
      </c>
      <c r="P327" s="31">
        <f t="shared" si="140"/>
        <v>1.7681502331748141E-2</v>
      </c>
    </row>
    <row r="328" spans="2:16" x14ac:dyDescent="0.25">
      <c r="B328" s="23">
        <v>85</v>
      </c>
      <c r="C328" s="24" t="s">
        <v>710</v>
      </c>
      <c r="D328" s="25" t="s">
        <v>711</v>
      </c>
      <c r="E328" s="25" t="s">
        <v>712</v>
      </c>
      <c r="F328" s="26">
        <v>0.05</v>
      </c>
      <c r="G328" s="27">
        <v>1</v>
      </c>
      <c r="H328" s="28">
        <f>F328 * G328 * 34693.056</f>
        <v>1734.6527999999998</v>
      </c>
      <c r="I328" s="28">
        <f>F328 * G328 * 0</f>
        <v>0</v>
      </c>
      <c r="J328" s="28">
        <f>F328 * G328 * 0</f>
        <v>0</v>
      </c>
      <c r="K328" s="28">
        <f>F328 * G328 * 33027.789312</f>
        <v>1651.3894656000002</v>
      </c>
      <c r="L328" s="28">
        <f>F328 * G328 * 7110.688758</f>
        <v>355.53443790000006</v>
      </c>
      <c r="M328" s="28">
        <f>F328 * G328 * 6938.6112</f>
        <v>346.93056000000001</v>
      </c>
      <c r="N328" s="29">
        <f t="shared" si="138"/>
        <v>4088.5072634999997</v>
      </c>
      <c r="O328" s="30">
        <f t="shared" si="139"/>
        <v>5006.8473224910531</v>
      </c>
      <c r="P328" s="31">
        <f t="shared" si="140"/>
        <v>3.4208188642637895E-2</v>
      </c>
    </row>
    <row r="329" spans="2:16" x14ac:dyDescent="0.25">
      <c r="B329" s="23">
        <v>86</v>
      </c>
      <c r="C329" s="24" t="s">
        <v>713</v>
      </c>
      <c r="D329" s="25" t="s">
        <v>714</v>
      </c>
      <c r="E329" s="25" t="s">
        <v>707</v>
      </c>
      <c r="F329" s="26">
        <v>0.04</v>
      </c>
      <c r="G329" s="27">
        <v>1</v>
      </c>
      <c r="H329" s="28">
        <f>F329 * G329 * 14655.7136</f>
        <v>586.22854399999994</v>
      </c>
      <c r="I329" s="28">
        <f>F329 * G329 * 0</f>
        <v>0</v>
      </c>
      <c r="J329" s="28">
        <f>F329 * G329 * 0</f>
        <v>0</v>
      </c>
      <c r="K329" s="28">
        <f>F329 * G329 * 13952.239347</f>
        <v>558.08957387999999</v>
      </c>
      <c r="L329" s="28">
        <f>F329 * G329 * 3003.83506</f>
        <v>120.1534024</v>
      </c>
      <c r="M329" s="28">
        <f>F329 * G329 * 2931.14272</f>
        <v>117.24570879999999</v>
      </c>
      <c r="N329" s="29">
        <f t="shared" si="138"/>
        <v>1381.7172290799999</v>
      </c>
      <c r="O329" s="30">
        <f t="shared" si="139"/>
        <v>1692.0716444898046</v>
      </c>
      <c r="P329" s="31">
        <f t="shared" si="140"/>
        <v>1.1560709221460228E-2</v>
      </c>
    </row>
    <row r="330" spans="2:16" s="125" customFormat="1" ht="30" x14ac:dyDescent="0.25">
      <c r="B330" s="118">
        <v>87</v>
      </c>
      <c r="C330" s="119"/>
      <c r="D330" s="120" t="s">
        <v>715</v>
      </c>
      <c r="E330" s="120" t="s">
        <v>716</v>
      </c>
      <c r="F330" s="121">
        <v>21.08</v>
      </c>
      <c r="G330" s="121">
        <v>3</v>
      </c>
      <c r="H330" s="122">
        <f>651.54336*F330*G330</f>
        <v>41203.602086399995</v>
      </c>
      <c r="I330" s="122">
        <f>0*F330*G330</f>
        <v>0</v>
      </c>
      <c r="J330" s="122">
        <f>0*F330*G330</f>
        <v>0</v>
      </c>
      <c r="K330" s="122">
        <f>620.26927872*F330*G330</f>
        <v>39225.829186252799</v>
      </c>
      <c r="L330" s="122">
        <f>133.5403270656*F330*G330</f>
        <v>8445.0902836285422</v>
      </c>
      <c r="M330" s="122">
        <f>130.308672*F330*G330</f>
        <v>8240.7204172799993</v>
      </c>
      <c r="N330" s="122">
        <f t="shared" si="138"/>
        <v>97115.241973561322</v>
      </c>
      <c r="O330" s="123">
        <f t="shared" si="139"/>
        <v>118928.78204945281</v>
      </c>
      <c r="P330" s="124">
        <f t="shared" si="140"/>
        <v>0.81255487722016895</v>
      </c>
    </row>
    <row r="331" spans="2:16" ht="12.75" customHeight="1" x14ac:dyDescent="0.25">
      <c r="B331" s="21"/>
      <c r="C331" s="22"/>
      <c r="D331" s="95" t="s">
        <v>1025</v>
      </c>
      <c r="E331" s="95"/>
      <c r="F331" s="95"/>
      <c r="G331" s="95"/>
      <c r="H331" s="95"/>
      <c r="I331" s="95"/>
      <c r="J331" s="95"/>
      <c r="K331" s="95"/>
      <c r="L331" s="95"/>
      <c r="M331" s="95"/>
      <c r="N331" s="95"/>
      <c r="O331" s="95"/>
      <c r="P331" s="95"/>
    </row>
    <row r="332" spans="2:16" ht="15.75" thickBot="1" x14ac:dyDescent="0.3">
      <c r="B332" s="23">
        <v>90</v>
      </c>
      <c r="C332" s="24"/>
      <c r="D332" s="25" t="s">
        <v>1026</v>
      </c>
      <c r="E332" s="25" t="s">
        <v>1027</v>
      </c>
      <c r="F332" s="26">
        <f>(4.8*4.8+2.2*4.8)*2+(2.2*2.5+1.35*2.25+1*2.2+2.2*3.1+1.15*9.7)*4*9</f>
        <v>1100.8499999999999</v>
      </c>
      <c r="G332" s="27">
        <v>0.2</v>
      </c>
      <c r="H332" s="28">
        <f>3300*F332*G332</f>
        <v>726561</v>
      </c>
      <c r="I332" s="28"/>
      <c r="J332" s="28"/>
      <c r="K332" s="28"/>
      <c r="L332" s="28"/>
      <c r="M332" s="28"/>
      <c r="N332" s="29">
        <f>SUM(H332:M332)</f>
        <v>726561</v>
      </c>
      <c r="O332" s="30">
        <f t="shared" ref="O332" si="141">N332*1.07*1.09*1.05</f>
        <v>889757.49901500018</v>
      </c>
      <c r="P332" s="31">
        <f>IF($P$9&gt;0,O332/$P$9/12,0)</f>
        <v>6.0790733992990091</v>
      </c>
    </row>
    <row r="333" spans="2:16" ht="12.75" customHeight="1" thickTop="1" thickBot="1" x14ac:dyDescent="0.3">
      <c r="B333" s="97" t="s">
        <v>30</v>
      </c>
      <c r="C333" s="97"/>
      <c r="D333" s="97"/>
      <c r="E333" s="97"/>
      <c r="F333" s="97"/>
      <c r="G333" s="97"/>
      <c r="H333" s="36">
        <f>SUM(H187:H332)</f>
        <v>828322.93702601595</v>
      </c>
      <c r="I333" s="36">
        <f>SUM(I187:I332)</f>
        <v>74141.103973792007</v>
      </c>
      <c r="J333" s="36">
        <f>SUM(J187:J332)</f>
        <v>12389.693583630002</v>
      </c>
      <c r="K333" s="36">
        <f>SUM(K187:K332)</f>
        <v>100774.49164755081</v>
      </c>
      <c r="L333" s="36">
        <f>SUM(L187:L332)</f>
        <v>30352.058769961535</v>
      </c>
      <c r="M333" s="36">
        <f>SUM(M187:M332)</f>
        <v>21171.111685272001</v>
      </c>
      <c r="N333" s="36">
        <f>SUM(N187:N332)</f>
        <v>1067151.3966862224</v>
      </c>
      <c r="O333" s="38">
        <f>SUM(O332,O326:O330,O323,O317:O321,O313:O315,O311,O306:O308,O304,O302,O299:O300,O296,O294,O285:O291,O276:O283,O273,O269:O271,O266:O267,O263:O264,O260:O261,O258,O254:O256,O251:O252,O248,O244,O242,O239:O240,O235:O236,O233,O230,O227,O219:O223,O217,O214,O210:O211,O207,O204:O205,O202,O200,O199:O200,O197,O188:O193)</f>
        <v>1314482.1303904201</v>
      </c>
      <c r="P333" s="37">
        <f>SUM(P187:P332)</f>
        <v>8.9287639559789174</v>
      </c>
    </row>
    <row r="334" spans="2:16" ht="16.5" thickTop="1" thickBot="1" x14ac:dyDescent="0.3">
      <c r="B334" s="92" t="s">
        <v>1034</v>
      </c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3"/>
      <c r="N334" s="93"/>
      <c r="O334" s="16"/>
      <c r="P334" s="17"/>
    </row>
    <row r="335" spans="2:16" x14ac:dyDescent="0.25">
      <c r="B335" s="92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4"/>
      <c r="N335" s="94"/>
      <c r="O335" s="18"/>
      <c r="P335" s="19"/>
    </row>
    <row r="336" spans="2:16" ht="13.5" customHeight="1" x14ac:dyDescent="0.25">
      <c r="B336" s="21"/>
      <c r="C336" s="22" t="s">
        <v>720</v>
      </c>
      <c r="D336" s="95" t="s">
        <v>721</v>
      </c>
      <c r="E336" s="95"/>
      <c r="F336" s="95"/>
      <c r="G336" s="95"/>
      <c r="H336" s="95"/>
      <c r="I336" s="95"/>
      <c r="J336" s="95"/>
      <c r="K336" s="95"/>
      <c r="L336" s="95"/>
      <c r="M336" s="95"/>
      <c r="N336" s="95"/>
      <c r="O336" s="95"/>
      <c r="P336" s="95"/>
    </row>
    <row r="337" spans="2:16" x14ac:dyDescent="0.25">
      <c r="B337" s="33"/>
      <c r="C337" s="34" t="s">
        <v>722</v>
      </c>
      <c r="D337" s="96" t="s">
        <v>723</v>
      </c>
      <c r="E337" s="96"/>
      <c r="F337" s="96"/>
      <c r="G337" s="96"/>
      <c r="H337" s="96"/>
      <c r="I337" s="96"/>
      <c r="J337" s="96"/>
      <c r="K337" s="96"/>
      <c r="L337" s="96"/>
      <c r="M337" s="96"/>
      <c r="N337" s="96"/>
      <c r="O337" s="96"/>
      <c r="P337" s="96"/>
    </row>
    <row r="338" spans="2:16" x14ac:dyDescent="0.25">
      <c r="B338" s="33"/>
      <c r="C338" s="34" t="s">
        <v>724</v>
      </c>
      <c r="D338" s="98" t="s">
        <v>725</v>
      </c>
      <c r="E338" s="98"/>
      <c r="F338" s="98"/>
      <c r="G338" s="98"/>
      <c r="H338" s="98"/>
      <c r="I338" s="98"/>
      <c r="J338" s="98"/>
      <c r="K338" s="98"/>
      <c r="L338" s="98"/>
      <c r="M338" s="98"/>
      <c r="N338" s="98"/>
      <c r="O338" s="98"/>
      <c r="P338" s="98"/>
    </row>
    <row r="339" spans="2:16" ht="30" x14ac:dyDescent="0.25">
      <c r="B339" s="23">
        <v>1</v>
      </c>
      <c r="C339" s="24" t="s">
        <v>726</v>
      </c>
      <c r="D339" s="25" t="s">
        <v>727</v>
      </c>
      <c r="E339" s="25" t="s">
        <v>79</v>
      </c>
      <c r="F339" s="26">
        <v>0.05</v>
      </c>
      <c r="G339" s="27">
        <v>1</v>
      </c>
      <c r="H339" s="28">
        <f>F339 * G339 * 13094.471</f>
        <v>654.72355000000005</v>
      </c>
      <c r="I339" s="28">
        <f>F339 * G339 * 38531.269473</f>
        <v>1926.5634736500001</v>
      </c>
      <c r="J339" s="28">
        <f>F339 * G339 * 0</f>
        <v>0</v>
      </c>
      <c r="K339" s="28">
        <f>F339 * G339 * 12465.936392</f>
        <v>623.29681960000005</v>
      </c>
      <c r="L339" s="28">
        <f>F339 * G339 * 6729.626071</f>
        <v>336.48130355000001</v>
      </c>
      <c r="M339" s="28">
        <f>F339 * G339 * 2618.8942</f>
        <v>130.94471000000001</v>
      </c>
      <c r="N339" s="29">
        <f>SUM(H339:M339)</f>
        <v>3672.0098568000008</v>
      </c>
      <c r="O339" s="30">
        <f t="shared" ref="O339:O343" si="142">N339*1.07*1.09*1.05</f>
        <v>4496.7983507851341</v>
      </c>
      <c r="P339" s="31">
        <f t="shared" ref="P339:P343" si="143">IF($P$9&gt;0,O339/$P$9/12,0)</f>
        <v>3.0723390661536541E-2</v>
      </c>
    </row>
    <row r="340" spans="2:16" ht="30" x14ac:dyDescent="0.25">
      <c r="B340" s="23">
        <v>2</v>
      </c>
      <c r="C340" s="24" t="s">
        <v>728</v>
      </c>
      <c r="D340" s="25" t="s">
        <v>729</v>
      </c>
      <c r="E340" s="25" t="s">
        <v>79</v>
      </c>
      <c r="F340" s="26">
        <v>0.05</v>
      </c>
      <c r="G340" s="27">
        <v>1</v>
      </c>
      <c r="H340" s="28">
        <f>F340 * G340 * 14101.738</f>
        <v>705.08690000000001</v>
      </c>
      <c r="I340" s="28">
        <f>F340 * G340 * 51596.893473</f>
        <v>2579.84467365</v>
      </c>
      <c r="J340" s="28">
        <f>F340 * G340 * 0</f>
        <v>0</v>
      </c>
      <c r="K340" s="28">
        <f>F340 * G340 * 13424.854576</f>
        <v>671.24272880000001</v>
      </c>
      <c r="L340" s="28">
        <f>F340 * G340 * 8307.966035</f>
        <v>415.39830174999997</v>
      </c>
      <c r="M340" s="28">
        <f>F340 * G340 * 2820.3476</f>
        <v>141.01738</v>
      </c>
      <c r="N340" s="29">
        <f>SUM(H340:M340)</f>
        <v>4512.5899842000008</v>
      </c>
      <c r="O340" s="30">
        <f t="shared" si="142"/>
        <v>5526.1853835010843</v>
      </c>
      <c r="P340" s="31">
        <f t="shared" si="143"/>
        <v>3.7756452293604192E-2</v>
      </c>
    </row>
    <row r="341" spans="2:16" ht="30" x14ac:dyDescent="0.25">
      <c r="B341" s="23">
        <v>3</v>
      </c>
      <c r="C341" s="24" t="s">
        <v>730</v>
      </c>
      <c r="D341" s="25" t="s">
        <v>731</v>
      </c>
      <c r="E341" s="25" t="s">
        <v>79</v>
      </c>
      <c r="F341" s="26">
        <v>0.03</v>
      </c>
      <c r="G341" s="27">
        <v>1</v>
      </c>
      <c r="H341" s="28">
        <f>F341 * G341 * 20877.545626</f>
        <v>626.32636877999994</v>
      </c>
      <c r="I341" s="28">
        <f>F341 * G341 * 66924.880249</f>
        <v>2007.7464074699997</v>
      </c>
      <c r="J341" s="28">
        <f>F341 * G341 * 0</f>
        <v>0</v>
      </c>
      <c r="K341" s="28">
        <f>F341 * G341 * 19875.4234359999</f>
        <v>596.26270307999698</v>
      </c>
      <c r="L341" s="28">
        <f>F341 * G341 * 11306.174178</f>
        <v>339.18522533999999</v>
      </c>
      <c r="M341" s="28">
        <f>F341 * G341 * 4175.509125</f>
        <v>125.26527374999998</v>
      </c>
      <c r="N341" s="29">
        <f>SUM(H341:M341)</f>
        <v>3694.7859784199968</v>
      </c>
      <c r="O341" s="30">
        <f t="shared" si="142"/>
        <v>4524.6903309628051</v>
      </c>
      <c r="P341" s="31">
        <f t="shared" si="143"/>
        <v>3.091395651227628E-2</v>
      </c>
    </row>
    <row r="342" spans="2:16" ht="30" x14ac:dyDescent="0.25">
      <c r="B342" s="23">
        <v>4</v>
      </c>
      <c r="C342" s="24" t="s">
        <v>732</v>
      </c>
      <c r="D342" s="25" t="s">
        <v>733</v>
      </c>
      <c r="E342" s="25" t="s">
        <v>79</v>
      </c>
      <c r="F342" s="26">
        <v>0.03</v>
      </c>
      <c r="G342" s="27">
        <v>1</v>
      </c>
      <c r="H342" s="28">
        <f>F342 * G342 * 23895.251147</f>
        <v>716.85753440999997</v>
      </c>
      <c r="I342" s="28">
        <f>F342 * G342 * 75795.825646</f>
        <v>2273.8747693799996</v>
      </c>
      <c r="J342" s="28">
        <f>F342 * G342 * 0</f>
        <v>0</v>
      </c>
      <c r="K342" s="28">
        <f>F342 * G342 * 22748.279092</f>
        <v>682.44837275999998</v>
      </c>
      <c r="L342" s="28">
        <f>F342 * G342 * 12856.132367</f>
        <v>385.68397100999999</v>
      </c>
      <c r="M342" s="28">
        <f>F342 * G342 * 4779.050229</f>
        <v>143.37150687000002</v>
      </c>
      <c r="N342" s="29">
        <f>SUM(H342:M342)</f>
        <v>4202.2361544299993</v>
      </c>
      <c r="O342" s="30">
        <f t="shared" si="142"/>
        <v>5146.1214282572937</v>
      </c>
      <c r="P342" s="31">
        <f t="shared" si="143"/>
        <v>3.5159748491823767E-2</v>
      </c>
    </row>
    <row r="343" spans="2:16" ht="30" x14ac:dyDescent="0.25">
      <c r="B343" s="23">
        <v>5</v>
      </c>
      <c r="C343" s="24" t="s">
        <v>734</v>
      </c>
      <c r="D343" s="25" t="s">
        <v>735</v>
      </c>
      <c r="E343" s="25" t="s">
        <v>79</v>
      </c>
      <c r="F343" s="26">
        <v>0.05</v>
      </c>
      <c r="G343" s="27">
        <v>1</v>
      </c>
      <c r="H343" s="28">
        <f>F343 * G343 * 31080.230552</f>
        <v>1554.0115276000001</v>
      </c>
      <c r="I343" s="28">
        <f>F343 * G343 * 96970.956028</f>
        <v>4848.5478014</v>
      </c>
      <c r="J343" s="28">
        <f>F343 * G343 * 0</f>
        <v>0</v>
      </c>
      <c r="K343" s="28">
        <f>F343 * G343 * 29588.379486</f>
        <v>1479.4189743000002</v>
      </c>
      <c r="L343" s="28">
        <f>F343 * G343 * 16552.154437</f>
        <v>827.60772185000008</v>
      </c>
      <c r="M343" s="28">
        <f>F343 * G343 * 6216.04611</f>
        <v>310.80230550000005</v>
      </c>
      <c r="N343" s="29">
        <f>SUM(H343:M343)</f>
        <v>9020.3883306499993</v>
      </c>
      <c r="O343" s="30">
        <f t="shared" si="142"/>
        <v>11046.502855538951</v>
      </c>
      <c r="P343" s="31">
        <f t="shared" si="143"/>
        <v>7.547281336625776E-2</v>
      </c>
    </row>
    <row r="344" spans="2:16" x14ac:dyDescent="0.25">
      <c r="B344" s="33"/>
      <c r="C344" s="34" t="s">
        <v>736</v>
      </c>
      <c r="D344" s="98" t="s">
        <v>737</v>
      </c>
      <c r="E344" s="98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</row>
    <row r="345" spans="2:16" ht="60" x14ac:dyDescent="0.25">
      <c r="B345" s="23">
        <v>6</v>
      </c>
      <c r="C345" s="24" t="s">
        <v>738</v>
      </c>
      <c r="D345" s="25" t="s">
        <v>739</v>
      </c>
      <c r="E345" s="25" t="s">
        <v>740</v>
      </c>
      <c r="F345" s="26">
        <v>9.7750000000000004</v>
      </c>
      <c r="G345" s="27">
        <v>1</v>
      </c>
      <c r="H345" s="28">
        <f>F345 * G345 * 359.882656</f>
        <v>3517.8529624000003</v>
      </c>
      <c r="I345" s="28">
        <f>F345 * G345 * 260.828568</f>
        <v>2549.5992522000001</v>
      </c>
      <c r="J345" s="28">
        <f>F345 * G345 * 0</f>
        <v>0</v>
      </c>
      <c r="K345" s="28">
        <f>F345 * G345 * 342.608288</f>
        <v>3348.9960152000003</v>
      </c>
      <c r="L345" s="28">
        <f>F345 * G345 * 101.148549</f>
        <v>988.72706647500002</v>
      </c>
      <c r="M345" s="28">
        <f>F345 * G345 * 71.976531</f>
        <v>703.57059052499994</v>
      </c>
      <c r="N345" s="29">
        <f>SUM(H345:M345)</f>
        <v>11108.745886799999</v>
      </c>
      <c r="O345" s="30">
        <f t="shared" ref="O345:O347" si="144">N345*1.07*1.09*1.05</f>
        <v>13603.936844163583</v>
      </c>
      <c r="P345" s="31">
        <f t="shared" ref="P345:P347" si="145">IF($P$9&gt;0,O345/$P$9/12,0)</f>
        <v>9.2945921429884282E-2</v>
      </c>
    </row>
    <row r="346" spans="2:16" ht="60" x14ac:dyDescent="0.25">
      <c r="B346" s="23">
        <v>7</v>
      </c>
      <c r="C346" s="24" t="s">
        <v>741</v>
      </c>
      <c r="D346" s="25" t="s">
        <v>742</v>
      </c>
      <c r="E346" s="25" t="s">
        <v>740</v>
      </c>
      <c r="F346" s="26">
        <v>5.7249999999999996</v>
      </c>
      <c r="G346" s="27">
        <v>1</v>
      </c>
      <c r="H346" s="28">
        <f>F346 * G346 * 388.941504</f>
        <v>2226.6901103999999</v>
      </c>
      <c r="I346" s="28">
        <f>F346 * G346 * 343.962619</f>
        <v>1969.185993775</v>
      </c>
      <c r="J346" s="28">
        <f>F346 * G346 * 0</f>
        <v>0</v>
      </c>
      <c r="K346" s="28">
        <f>F346 * G346 * 370.272312</f>
        <v>2119.8089861999997</v>
      </c>
      <c r="L346" s="28">
        <f>F346 * G346 * 115.833525</f>
        <v>663.14693062499998</v>
      </c>
      <c r="M346" s="28">
        <f>F346 * G346 * 77.788301</f>
        <v>445.33802322499997</v>
      </c>
      <c r="N346" s="29">
        <f>SUM(H346:M346)</f>
        <v>7424.1700442250003</v>
      </c>
      <c r="O346" s="30">
        <f t="shared" si="144"/>
        <v>9091.7499987085994</v>
      </c>
      <c r="P346" s="31">
        <f t="shared" si="145"/>
        <v>6.2117392246102861E-2</v>
      </c>
    </row>
    <row r="347" spans="2:16" ht="60" x14ac:dyDescent="0.25">
      <c r="B347" s="23">
        <v>8</v>
      </c>
      <c r="C347" s="24" t="s">
        <v>743</v>
      </c>
      <c r="D347" s="25" t="s">
        <v>744</v>
      </c>
      <c r="E347" s="25" t="s">
        <v>740</v>
      </c>
      <c r="F347" s="26">
        <v>20.5</v>
      </c>
      <c r="G347" s="27">
        <v>1</v>
      </c>
      <c r="H347" s="28">
        <f>F347 * G347 * 409.059168</f>
        <v>8385.7129440000008</v>
      </c>
      <c r="I347" s="28">
        <f>F347 * G347 * 439.354421</f>
        <v>9006.7656305</v>
      </c>
      <c r="J347" s="28">
        <f>F347 * G347 * 0</f>
        <v>0</v>
      </c>
      <c r="K347" s="28">
        <f>F347 * G347 * 389.424328</f>
        <v>7983.1987239999999</v>
      </c>
      <c r="L347" s="28">
        <f>F347 * G347 * 129.972982</f>
        <v>2664.4461310000002</v>
      </c>
      <c r="M347" s="28">
        <f>F347 * G347 * 81.811834</f>
        <v>1677.142597</v>
      </c>
      <c r="N347" s="29">
        <f>SUM(H347:M347)</f>
        <v>29717.266026500001</v>
      </c>
      <c r="O347" s="30">
        <f t="shared" si="144"/>
        <v>36392.209735042306</v>
      </c>
      <c r="P347" s="31">
        <f t="shared" si="145"/>
        <v>0.24864180901753374</v>
      </c>
    </row>
    <row r="348" spans="2:16" x14ac:dyDescent="0.25">
      <c r="B348" s="33"/>
      <c r="C348" s="34" t="s">
        <v>745</v>
      </c>
      <c r="D348" s="96" t="s">
        <v>746</v>
      </c>
      <c r="E348" s="96"/>
      <c r="F348" s="96"/>
      <c r="G348" s="96"/>
      <c r="H348" s="96"/>
      <c r="I348" s="96"/>
      <c r="J348" s="96"/>
      <c r="K348" s="96"/>
      <c r="L348" s="96"/>
      <c r="M348" s="96"/>
      <c r="N348" s="96"/>
      <c r="O348" s="96"/>
      <c r="P348" s="96"/>
    </row>
    <row r="349" spans="2:16" x14ac:dyDescent="0.25">
      <c r="B349" s="33"/>
      <c r="C349" s="34" t="s">
        <v>747</v>
      </c>
      <c r="D349" s="98" t="s">
        <v>748</v>
      </c>
      <c r="E349" s="98"/>
      <c r="F349" s="98"/>
      <c r="G349" s="98"/>
      <c r="H349" s="98"/>
      <c r="I349" s="98"/>
      <c r="J349" s="98"/>
      <c r="K349" s="98"/>
      <c r="L349" s="98"/>
      <c r="M349" s="98"/>
      <c r="N349" s="98"/>
      <c r="O349" s="98"/>
      <c r="P349" s="98"/>
    </row>
    <row r="350" spans="2:16" ht="30" x14ac:dyDescent="0.25">
      <c r="B350" s="23">
        <v>9</v>
      </c>
      <c r="C350" s="24" t="s">
        <v>749</v>
      </c>
      <c r="D350" s="25" t="s">
        <v>750</v>
      </c>
      <c r="E350" s="25" t="s">
        <v>751</v>
      </c>
      <c r="F350" s="26">
        <v>0.05</v>
      </c>
      <c r="G350" s="27">
        <v>1</v>
      </c>
      <c r="H350" s="28">
        <f>F350 * G350 * 22159.874</f>
        <v>1107.9937</v>
      </c>
      <c r="I350" s="28">
        <f>F350 * G350 * 795829.529257</f>
        <v>39791.476462849998</v>
      </c>
      <c r="J350" s="28">
        <f>F350 * G350 * 0</f>
        <v>0</v>
      </c>
      <c r="K350" s="28">
        <f>F350 * G350 * 21096.200048</f>
        <v>1054.8100024</v>
      </c>
      <c r="L350" s="28">
        <f>F350 * G350 * 88103.9883469999</f>
        <v>4405.1994173499952</v>
      </c>
      <c r="M350" s="28">
        <f>F350 * G350 * 4431.9748</f>
        <v>221.59874000000002</v>
      </c>
      <c r="N350" s="29">
        <f>SUM(H350:M350)</f>
        <v>46581.078322599991</v>
      </c>
      <c r="O350" s="30">
        <f t="shared" ref="O350:O352" si="146">N350*1.07*1.09*1.05</f>
        <v>57043.887230030792</v>
      </c>
      <c r="P350" s="31">
        <f t="shared" ref="P350:P352" si="147">IF($P$9&gt;0,O350/$P$9/12,0)</f>
        <v>0.3897398761309529</v>
      </c>
    </row>
    <row r="351" spans="2:16" x14ac:dyDescent="0.25">
      <c r="B351" s="23">
        <v>10</v>
      </c>
      <c r="C351" s="24" t="s">
        <v>752</v>
      </c>
      <c r="D351" s="25" t="s">
        <v>753</v>
      </c>
      <c r="E351" s="25" t="s">
        <v>754</v>
      </c>
      <c r="F351" s="26">
        <v>0.03</v>
      </c>
      <c r="G351" s="27">
        <v>1</v>
      </c>
      <c r="H351" s="28">
        <f>F351 * G351 * 16245.4754</f>
        <v>487.36426199999994</v>
      </c>
      <c r="I351" s="28">
        <f>F351 * G351 * 86274.94815</f>
        <v>2588.2484445</v>
      </c>
      <c r="J351" s="28">
        <f>F351 * G351 * 0</f>
        <v>0</v>
      </c>
      <c r="K351" s="28">
        <f>F351 * G351 * 15465.692581</f>
        <v>463.97077742999994</v>
      </c>
      <c r="L351" s="28">
        <f>F351 * G351 * 12388.542194</f>
        <v>371.65626581999999</v>
      </c>
      <c r="M351" s="28">
        <f>F351 * G351 * 3249.09508</f>
        <v>97.472852399999994</v>
      </c>
      <c r="N351" s="29">
        <f>SUM(H351:M351)</f>
        <v>4008.7126021500003</v>
      </c>
      <c r="O351" s="30">
        <f t="shared" si="146"/>
        <v>4909.1295832819242</v>
      </c>
      <c r="P351" s="31">
        <f t="shared" si="147"/>
        <v>3.3540553573842773E-2</v>
      </c>
    </row>
    <row r="352" spans="2:16" x14ac:dyDescent="0.25">
      <c r="B352" s="23">
        <v>11</v>
      </c>
      <c r="C352" s="24" t="s">
        <v>755</v>
      </c>
      <c r="D352" s="25" t="s">
        <v>756</v>
      </c>
      <c r="E352" s="25" t="s">
        <v>754</v>
      </c>
      <c r="F352" s="26">
        <v>0.02</v>
      </c>
      <c r="G352" s="27">
        <v>1</v>
      </c>
      <c r="H352" s="28">
        <f>F352 * G352 * 16245.4754</f>
        <v>324.90950800000002</v>
      </c>
      <c r="I352" s="28">
        <f>F352 * G352 * 94337.32815</f>
        <v>1886.7465630000002</v>
      </c>
      <c r="J352" s="28">
        <f>F352 * G352 * 0</f>
        <v>0</v>
      </c>
      <c r="K352" s="28">
        <f>F352 * G352 * 15465.692581</f>
        <v>309.31385161999998</v>
      </c>
      <c r="L352" s="28">
        <f>F352 * G352 * 13235.092094</f>
        <v>264.70184188000002</v>
      </c>
      <c r="M352" s="28">
        <f>F352 * G352 * 3249.09508</f>
        <v>64.9819016</v>
      </c>
      <c r="N352" s="29">
        <f>SUM(H352:M352)</f>
        <v>2850.6536661000005</v>
      </c>
      <c r="O352" s="30">
        <f t="shared" si="146"/>
        <v>3490.9532393110526</v>
      </c>
      <c r="P352" s="31">
        <f t="shared" si="147"/>
        <v>2.3851174054487802E-2</v>
      </c>
    </row>
    <row r="353" spans="2:16" x14ac:dyDescent="0.25">
      <c r="B353" s="33"/>
      <c r="C353" s="34" t="s">
        <v>757</v>
      </c>
      <c r="D353" s="98" t="s">
        <v>758</v>
      </c>
      <c r="E353" s="98"/>
      <c r="F353" s="98"/>
      <c r="G353" s="98"/>
      <c r="H353" s="98"/>
      <c r="I353" s="98"/>
      <c r="J353" s="98"/>
      <c r="K353" s="98"/>
      <c r="L353" s="98"/>
      <c r="M353" s="98"/>
      <c r="N353" s="98"/>
      <c r="O353" s="98"/>
      <c r="P353" s="98"/>
    </row>
    <row r="354" spans="2:16" ht="30" x14ac:dyDescent="0.25">
      <c r="B354" s="23">
        <v>12</v>
      </c>
      <c r="C354" s="24" t="s">
        <v>759</v>
      </c>
      <c r="D354" s="25" t="s">
        <v>760</v>
      </c>
      <c r="E354" s="25" t="s">
        <v>754</v>
      </c>
      <c r="F354" s="26">
        <v>0.01</v>
      </c>
      <c r="G354" s="27">
        <v>1</v>
      </c>
      <c r="H354" s="28">
        <f>F354 * G354 * 12025.8714</f>
        <v>120.258714</v>
      </c>
      <c r="I354" s="28">
        <f>F354 * G354 * 93160.638635</f>
        <v>931.60638634999998</v>
      </c>
      <c r="J354" s="28">
        <f>F354 * G354 * 0</f>
        <v>0</v>
      </c>
      <c r="K354" s="28">
        <f>F354 * G354 * 11448.629573</f>
        <v>114.48629573000001</v>
      </c>
      <c r="L354" s="28">
        <f>F354 * G354 * 12246.689659</f>
        <v>122.46689659</v>
      </c>
      <c r="M354" s="28">
        <f>F354 * G354 * 2405.17428</f>
        <v>24.051742800000003</v>
      </c>
      <c r="N354" s="29">
        <f>SUM(H354:M354)</f>
        <v>1312.8700354699999</v>
      </c>
      <c r="O354" s="30">
        <f t="shared" ref="O354:O355" si="148">N354*1.07*1.09*1.05</f>
        <v>1607.7603384870945</v>
      </c>
      <c r="P354" s="31">
        <f t="shared" ref="P354:P355" si="149">IF($P$9&gt;0,O354/$P$9/12,0)</f>
        <v>1.0984670673711394E-2</v>
      </c>
    </row>
    <row r="355" spans="2:16" x14ac:dyDescent="0.25">
      <c r="B355" s="23">
        <v>13</v>
      </c>
      <c r="C355" s="24" t="s">
        <v>761</v>
      </c>
      <c r="D355" s="25" t="s">
        <v>762</v>
      </c>
      <c r="E355" s="25" t="s">
        <v>754</v>
      </c>
      <c r="F355" s="26">
        <v>0.01</v>
      </c>
      <c r="G355" s="27">
        <v>1</v>
      </c>
      <c r="H355" s="28">
        <f>F355 * G355 * 12025.8714</f>
        <v>120.258714</v>
      </c>
      <c r="I355" s="28">
        <f>F355 * G355 * 85098.258635</f>
        <v>850.98258635000002</v>
      </c>
      <c r="J355" s="28">
        <f>F355 * G355 * 0</f>
        <v>0</v>
      </c>
      <c r="K355" s="28">
        <f>F355 * G355 * 11448.629573</f>
        <v>114.48629573000001</v>
      </c>
      <c r="L355" s="28">
        <f>F355 * G355 * 11400.139759</f>
        <v>114.00139759</v>
      </c>
      <c r="M355" s="28">
        <f>F355 * G355 * 2405.17428</f>
        <v>24.051742800000003</v>
      </c>
      <c r="N355" s="29">
        <f>SUM(H355:M355)</f>
        <v>1223.78073647</v>
      </c>
      <c r="O355" s="30">
        <f t="shared" si="148"/>
        <v>1498.6602465922092</v>
      </c>
      <c r="P355" s="31">
        <f t="shared" si="149"/>
        <v>1.023926817108175E-2</v>
      </c>
    </row>
    <row r="356" spans="2:16" x14ac:dyDescent="0.25">
      <c r="B356" s="33"/>
      <c r="C356" s="34" t="s">
        <v>763</v>
      </c>
      <c r="D356" s="98" t="s">
        <v>764</v>
      </c>
      <c r="E356" s="98"/>
      <c r="F356" s="98"/>
      <c r="G356" s="98"/>
      <c r="H356" s="98"/>
      <c r="I356" s="98"/>
      <c r="J356" s="98"/>
      <c r="K356" s="98"/>
      <c r="L356" s="98"/>
      <c r="M356" s="98"/>
      <c r="N356" s="98"/>
      <c r="O356" s="98"/>
      <c r="P356" s="98"/>
    </row>
    <row r="357" spans="2:16" ht="30" x14ac:dyDescent="0.25">
      <c r="B357" s="23">
        <v>14</v>
      </c>
      <c r="C357" s="24" t="s">
        <v>765</v>
      </c>
      <c r="D357" s="25" t="s">
        <v>766</v>
      </c>
      <c r="E357" s="25" t="s">
        <v>767</v>
      </c>
      <c r="F357" s="26">
        <v>1.5</v>
      </c>
      <c r="G357" s="27">
        <v>1</v>
      </c>
      <c r="H357" s="28">
        <f>F357 * G357 * 57862.42128</f>
        <v>86793.63192</v>
      </c>
      <c r="I357" s="28">
        <f>F357 * G357 * 1974.108119</f>
        <v>2961.1621784999998</v>
      </c>
      <c r="J357" s="28">
        <f>F357 * G357 * 0</f>
        <v>0</v>
      </c>
      <c r="K357" s="28">
        <f>F357 * G357 * 55085.025059</f>
        <v>82627.537588499996</v>
      </c>
      <c r="L357" s="28">
        <f>F357 * G357 * 12066.763218</f>
        <v>18100.144827</v>
      </c>
      <c r="M357" s="28">
        <f>F357 * G357 * 11572.484256</f>
        <v>17358.726384000001</v>
      </c>
      <c r="N357" s="29">
        <f>SUM(H357:M357)</f>
        <v>207841.20289800002</v>
      </c>
      <c r="O357" s="30">
        <f t="shared" ref="O357:O358" si="150">N357*1.07*1.09*1.05</f>
        <v>254525.45468693433</v>
      </c>
      <c r="P357" s="31">
        <f t="shared" ref="P357:P358" si="151">IF($P$9&gt;0,O357/$P$9/12,0)</f>
        <v>1.7389894693157766</v>
      </c>
    </row>
    <row r="358" spans="2:16" ht="30" x14ac:dyDescent="0.25">
      <c r="B358" s="23">
        <v>15</v>
      </c>
      <c r="C358" s="24" t="s">
        <v>768</v>
      </c>
      <c r="D358" s="25" t="s">
        <v>769</v>
      </c>
      <c r="E358" s="25" t="s">
        <v>767</v>
      </c>
      <c r="F358" s="26">
        <v>0.6</v>
      </c>
      <c r="G358" s="27">
        <v>1</v>
      </c>
      <c r="H358" s="28">
        <f>F358 * G358 * 79292.94768</f>
        <v>47575.768607999998</v>
      </c>
      <c r="I358" s="28">
        <f>F358 * G358 * 1974.108119</f>
        <v>1184.4648714</v>
      </c>
      <c r="J358" s="28">
        <f>F358 * G358 * 0</f>
        <v>0</v>
      </c>
      <c r="K358" s="28">
        <f>F358 * G358 * 75486.886191</f>
        <v>45292.1317146</v>
      </c>
      <c r="L358" s="28">
        <f>F358 * G358 * 16459.163909</f>
        <v>9875.4983453999994</v>
      </c>
      <c r="M358" s="28">
        <f>F358 * G358 * 15858.589536</f>
        <v>9515.1537215999997</v>
      </c>
      <c r="N358" s="29">
        <f>SUM(H358:M358)</f>
        <v>113443.017261</v>
      </c>
      <c r="O358" s="30">
        <f t="shared" si="150"/>
        <v>138924.02058307955</v>
      </c>
      <c r="P358" s="31">
        <f t="shared" si="151"/>
        <v>0.9491679687838509</v>
      </c>
    </row>
    <row r="359" spans="2:16" x14ac:dyDescent="0.25">
      <c r="B359" s="33"/>
      <c r="C359" s="34" t="s">
        <v>770</v>
      </c>
      <c r="D359" s="96" t="s">
        <v>771</v>
      </c>
      <c r="E359" s="96"/>
      <c r="F359" s="96"/>
      <c r="G359" s="96"/>
      <c r="H359" s="96"/>
      <c r="I359" s="96"/>
      <c r="J359" s="96"/>
      <c r="K359" s="96"/>
      <c r="L359" s="96"/>
      <c r="M359" s="96"/>
      <c r="N359" s="96"/>
      <c r="O359" s="96"/>
      <c r="P359" s="96"/>
    </row>
    <row r="360" spans="2:16" x14ac:dyDescent="0.25">
      <c r="B360" s="33"/>
      <c r="C360" s="34" t="s">
        <v>772</v>
      </c>
      <c r="D360" s="98" t="s">
        <v>773</v>
      </c>
      <c r="E360" s="98"/>
      <c r="F360" s="98"/>
      <c r="G360" s="98"/>
      <c r="H360" s="98"/>
      <c r="I360" s="98"/>
      <c r="J360" s="98"/>
      <c r="K360" s="98"/>
      <c r="L360" s="98"/>
      <c r="M360" s="98"/>
      <c r="N360" s="98"/>
      <c r="O360" s="98"/>
      <c r="P360" s="98"/>
    </row>
    <row r="361" spans="2:16" ht="45" x14ac:dyDescent="0.25">
      <c r="B361" s="23">
        <v>16</v>
      </c>
      <c r="C361" s="24" t="s">
        <v>774</v>
      </c>
      <c r="D361" s="25" t="s">
        <v>775</v>
      </c>
      <c r="E361" s="25" t="s">
        <v>776</v>
      </c>
      <c r="F361" s="26">
        <v>0.05</v>
      </c>
      <c r="G361" s="27">
        <v>1</v>
      </c>
      <c r="H361" s="28">
        <f>F361 * G361 * 24368.616</f>
        <v>1218.4308000000001</v>
      </c>
      <c r="I361" s="28">
        <f>F361 * G361 * 2016.653786</f>
        <v>100.83268930000001</v>
      </c>
      <c r="J361" s="28">
        <f>F361 * G361 * 0</f>
        <v>0</v>
      </c>
      <c r="K361" s="28">
        <f>F361 * G361 * 23198.922432</f>
        <v>1159.9461216</v>
      </c>
      <c r="L361" s="28">
        <f>F361 * G361 * 5206.340183</f>
        <v>260.31700915000005</v>
      </c>
      <c r="M361" s="28">
        <f>F361 * G361 * 4873.7232</f>
        <v>243.68616000000003</v>
      </c>
      <c r="N361" s="29">
        <f>SUM(H361:M361)</f>
        <v>2983.2127800500007</v>
      </c>
      <c r="O361" s="30">
        <f t="shared" ref="O361" si="152">N361*1.07*1.09*1.05</f>
        <v>3653.2871186409316</v>
      </c>
      <c r="P361" s="31">
        <f>IF($P$9&gt;0,O361/$P$9/12,0)</f>
        <v>2.4960284760193296E-2</v>
      </c>
    </row>
    <row r="362" spans="2:16" x14ac:dyDescent="0.25">
      <c r="B362" s="33"/>
      <c r="C362" s="34" t="s">
        <v>777</v>
      </c>
      <c r="D362" s="96" t="s">
        <v>778</v>
      </c>
      <c r="E362" s="96"/>
      <c r="F362" s="96"/>
      <c r="G362" s="96"/>
      <c r="H362" s="96"/>
      <c r="I362" s="96"/>
      <c r="J362" s="96"/>
      <c r="K362" s="96"/>
      <c r="L362" s="96"/>
      <c r="M362" s="96"/>
      <c r="N362" s="96"/>
      <c r="O362" s="96"/>
      <c r="P362" s="96"/>
    </row>
    <row r="363" spans="2:16" x14ac:dyDescent="0.25">
      <c r="B363" s="23">
        <v>17</v>
      </c>
      <c r="C363" s="24" t="s">
        <v>779</v>
      </c>
      <c r="D363" s="25" t="s">
        <v>780</v>
      </c>
      <c r="E363" s="25" t="s">
        <v>781</v>
      </c>
      <c r="F363" s="26">
        <v>4</v>
      </c>
      <c r="G363" s="27">
        <v>0.1</v>
      </c>
      <c r="H363" s="28">
        <f>F363 * G363 * 565.529888</f>
        <v>226.21195520000003</v>
      </c>
      <c r="I363" s="28">
        <f>F363 * G363 * 89375.08344</f>
        <v>35750.033375999999</v>
      </c>
      <c r="J363" s="28">
        <f>F363 * G363 * 0</f>
        <v>0</v>
      </c>
      <c r="K363" s="28">
        <f>F363 * G363 * 538.384453</f>
        <v>215.35378120000001</v>
      </c>
      <c r="L363" s="28">
        <f>F363 * G363 * 9500.294767</f>
        <v>3800.1179068000001</v>
      </c>
      <c r="M363" s="28">
        <f>F363 * G363 * 113.105978</f>
        <v>45.2423912</v>
      </c>
      <c r="N363" s="29">
        <f>SUM(H363:M363)</f>
        <v>40036.959410399999</v>
      </c>
      <c r="O363" s="30">
        <f t="shared" ref="O363" si="153">N363*1.07*1.09*1.05</f>
        <v>49029.861048367005</v>
      </c>
      <c r="P363" s="31">
        <f>IF($P$9&gt;0,O363/$P$9/12,0)</f>
        <v>0.33498579601792106</v>
      </c>
    </row>
    <row r="364" spans="2:16" x14ac:dyDescent="0.25">
      <c r="B364" s="33"/>
      <c r="C364" s="34" t="s">
        <v>782</v>
      </c>
      <c r="D364" s="96" t="s">
        <v>783</v>
      </c>
      <c r="E364" s="96"/>
      <c r="F364" s="96"/>
      <c r="G364" s="96"/>
      <c r="H364" s="96"/>
      <c r="I364" s="96"/>
      <c r="J364" s="96"/>
      <c r="K364" s="96"/>
      <c r="L364" s="96"/>
      <c r="M364" s="96"/>
      <c r="N364" s="96"/>
      <c r="O364" s="96"/>
      <c r="P364" s="96"/>
    </row>
    <row r="365" spans="2:16" ht="30" x14ac:dyDescent="0.25">
      <c r="B365" s="23">
        <v>18</v>
      </c>
      <c r="C365" s="24" t="s">
        <v>784</v>
      </c>
      <c r="D365" s="25" t="s">
        <v>785</v>
      </c>
      <c r="E365" s="25" t="s">
        <v>786</v>
      </c>
      <c r="F365" s="26">
        <v>1</v>
      </c>
      <c r="G365" s="27">
        <v>0.5</v>
      </c>
      <c r="H365" s="28">
        <f>F365 * G365 * 3083.8272</f>
        <v>1541.9136000000001</v>
      </c>
      <c r="I365" s="28">
        <f>F365 * G365 * 23056.391168</f>
        <v>11528.195583999999</v>
      </c>
      <c r="J365" s="28">
        <f>F365 * G365 * 0</f>
        <v>0</v>
      </c>
      <c r="K365" s="28">
        <f>F365 * G365 * 2935.803494</f>
        <v>1467.9017469999999</v>
      </c>
      <c r="L365" s="28">
        <f>F365 * G365 * 3052.982295</f>
        <v>1526.4911474999999</v>
      </c>
      <c r="M365" s="28">
        <f>F365 * G365 * 616.76544</f>
        <v>308.38272000000001</v>
      </c>
      <c r="N365" s="29">
        <f>SUM(H365:M365)</f>
        <v>16372.884798499997</v>
      </c>
      <c r="O365" s="30">
        <f t="shared" ref="O365:O366" si="154">N365*1.07*1.09*1.05</f>
        <v>20050.480317515077</v>
      </c>
      <c r="P365" s="31">
        <f t="shared" ref="P365:P366" si="155">IF($P$9&gt;0,O365/$P$9/12,0)</f>
        <v>0.13699051896309938</v>
      </c>
    </row>
    <row r="366" spans="2:16" ht="30" x14ac:dyDescent="0.25">
      <c r="B366" s="23">
        <v>19</v>
      </c>
      <c r="C366" s="24" t="s">
        <v>787</v>
      </c>
      <c r="D366" s="25" t="s">
        <v>788</v>
      </c>
      <c r="E366" s="25" t="s">
        <v>789</v>
      </c>
      <c r="F366" s="26">
        <v>1</v>
      </c>
      <c r="G366" s="27">
        <v>0.5</v>
      </c>
      <c r="H366" s="28">
        <f>F366 * G366 * 4625.7408</f>
        <v>2312.8703999999998</v>
      </c>
      <c r="I366" s="28">
        <f>F366 * G366 * 25509.590895</f>
        <v>12754.795447500001</v>
      </c>
      <c r="J366" s="28">
        <f>F366 * G366 * 0</f>
        <v>0</v>
      </c>
      <c r="K366" s="28">
        <f>F366 * G366 * 4403.705242</f>
        <v>2201.852621</v>
      </c>
      <c r="L366" s="28">
        <f>F366 * G366 * 3626.598879</f>
        <v>1813.2994395000001</v>
      </c>
      <c r="M366" s="28">
        <f>F366 * G366 * 925.14816</f>
        <v>462.57407999999998</v>
      </c>
      <c r="N366" s="29">
        <f>SUM(H366:M366)</f>
        <v>19545.391987999996</v>
      </c>
      <c r="O366" s="30">
        <f t="shared" si="154"/>
        <v>23935.580209384621</v>
      </c>
      <c r="P366" s="31">
        <f t="shared" si="155"/>
        <v>0.16353461376694148</v>
      </c>
    </row>
    <row r="367" spans="2:16" x14ac:dyDescent="0.25">
      <c r="B367" s="33"/>
      <c r="C367" s="34" t="s">
        <v>790</v>
      </c>
      <c r="D367" s="96" t="s">
        <v>791</v>
      </c>
      <c r="E367" s="96"/>
      <c r="F367" s="96"/>
      <c r="G367" s="96"/>
      <c r="H367" s="96"/>
      <c r="I367" s="96"/>
      <c r="J367" s="96"/>
      <c r="K367" s="96"/>
      <c r="L367" s="96"/>
      <c r="M367" s="96"/>
      <c r="N367" s="96"/>
      <c r="O367" s="96"/>
      <c r="P367" s="96"/>
    </row>
    <row r="368" spans="2:16" x14ac:dyDescent="0.25">
      <c r="B368" s="23">
        <v>20</v>
      </c>
      <c r="C368" s="24" t="s">
        <v>792</v>
      </c>
      <c r="D368" s="25" t="s">
        <v>793</v>
      </c>
      <c r="E368" s="25" t="s">
        <v>794</v>
      </c>
      <c r="F368" s="26">
        <v>1</v>
      </c>
      <c r="G368" s="27">
        <v>0.5</v>
      </c>
      <c r="H368" s="28">
        <f>F368 * G368 * 2794.12</f>
        <v>1397.06</v>
      </c>
      <c r="I368" s="28">
        <f>F368 * G368 * 7027.004963</f>
        <v>3513.5024815000002</v>
      </c>
      <c r="J368" s="28">
        <f>F368 * G368 * 0</f>
        <v>0</v>
      </c>
      <c r="K368" s="28">
        <f>F368 * G368 * 2660.00224</f>
        <v>1330.0011199999999</v>
      </c>
      <c r="L368" s="28">
        <f>F368 * G368 * 1310.518356</f>
        <v>655.25917800000002</v>
      </c>
      <c r="M368" s="28">
        <f>F368 * G368 * 558.824</f>
        <v>279.41199999999998</v>
      </c>
      <c r="N368" s="29">
        <f>SUM(H368:M368)</f>
        <v>7175.2347795000005</v>
      </c>
      <c r="O368" s="30">
        <f t="shared" ref="O368" si="156">N368*1.07*1.09*1.05</f>
        <v>8786.9001394973948</v>
      </c>
      <c r="P368" s="31">
        <f>IF($P$9&gt;0,O368/$P$9/12,0)</f>
        <v>6.0034572295765316E-2</v>
      </c>
    </row>
    <row r="369" spans="2:16" x14ac:dyDescent="0.25">
      <c r="B369" s="33"/>
      <c r="C369" s="34" t="s">
        <v>795</v>
      </c>
      <c r="D369" s="98" t="s">
        <v>796</v>
      </c>
      <c r="E369" s="98"/>
      <c r="F369" s="98"/>
      <c r="G369" s="98"/>
      <c r="H369" s="98"/>
      <c r="I369" s="98"/>
      <c r="J369" s="98"/>
      <c r="K369" s="98"/>
      <c r="L369" s="98"/>
      <c r="M369" s="98"/>
      <c r="N369" s="98"/>
      <c r="O369" s="98"/>
      <c r="P369" s="98"/>
    </row>
    <row r="370" spans="2:16" ht="30" x14ac:dyDescent="0.25">
      <c r="B370" s="23">
        <v>21</v>
      </c>
      <c r="C370" s="24" t="s">
        <v>797</v>
      </c>
      <c r="D370" s="25" t="s">
        <v>798</v>
      </c>
      <c r="E370" s="25" t="s">
        <v>623</v>
      </c>
      <c r="F370" s="26">
        <v>0.01</v>
      </c>
      <c r="G370" s="27">
        <v>1</v>
      </c>
      <c r="H370" s="28">
        <f>F370 * G370 * 56406.952</f>
        <v>564.06952000000001</v>
      </c>
      <c r="I370" s="28">
        <f>F370 * G370 * 461597.155589</f>
        <v>4615.9715558899998</v>
      </c>
      <c r="J370" s="28">
        <f>F370 * G370 * 0</f>
        <v>0</v>
      </c>
      <c r="K370" s="28">
        <f>F370 * G370 * 53699.418304</f>
        <v>536.99418304000005</v>
      </c>
      <c r="L370" s="28">
        <f>F370 * G370 * 60028.870218</f>
        <v>600.28870217999997</v>
      </c>
      <c r="M370" s="28">
        <f>F370 * G370 * 11281.3904</f>
        <v>112.81390400000001</v>
      </c>
      <c r="N370" s="29">
        <f>SUM(H370:M370)</f>
        <v>6430.1378651099994</v>
      </c>
      <c r="O370" s="30">
        <f t="shared" ref="O370:O372" si="157">N370*1.07*1.09*1.05</f>
        <v>7874.4432816816834</v>
      </c>
      <c r="P370" s="31">
        <f t="shared" ref="P370:P372" si="158">IF($P$9&gt;0,O370/$P$9/12,0)</f>
        <v>5.3800410494941948E-2</v>
      </c>
    </row>
    <row r="371" spans="2:16" ht="30" x14ac:dyDescent="0.25">
      <c r="B371" s="23">
        <v>22</v>
      </c>
      <c r="C371" s="24" t="s">
        <v>799</v>
      </c>
      <c r="D371" s="25" t="s">
        <v>800</v>
      </c>
      <c r="E371" s="25" t="s">
        <v>623</v>
      </c>
      <c r="F371" s="26">
        <v>0.01</v>
      </c>
      <c r="G371" s="27">
        <v>1</v>
      </c>
      <c r="H371" s="28">
        <f>F371 * G371 * 65472.355</f>
        <v>654.72355000000005</v>
      </c>
      <c r="I371" s="28">
        <f>F371 * G371 * 1025276.038517</f>
        <v>10252.760385170001</v>
      </c>
      <c r="J371" s="28">
        <f>F371 * G371 * 0</f>
        <v>0</v>
      </c>
      <c r="K371" s="28">
        <f>F371 * G371 * 62329.68196</f>
        <v>623.29681960000005</v>
      </c>
      <c r="L371" s="28">
        <f>F371 * G371 * 121073.197925</f>
        <v>1210.73197925</v>
      </c>
      <c r="M371" s="28">
        <f>F371 * G371 * 13094.471</f>
        <v>130.94470999999999</v>
      </c>
      <c r="N371" s="29">
        <f>SUM(H371:M371)</f>
        <v>12872.457444020001</v>
      </c>
      <c r="O371" s="30">
        <f t="shared" si="157"/>
        <v>15763.804472808557</v>
      </c>
      <c r="P371" s="31">
        <f t="shared" si="158"/>
        <v>0.1077027443415632</v>
      </c>
    </row>
    <row r="372" spans="2:16" ht="30" x14ac:dyDescent="0.25">
      <c r="B372" s="23">
        <v>23</v>
      </c>
      <c r="C372" s="24" t="s">
        <v>801</v>
      </c>
      <c r="D372" s="25" t="s">
        <v>802</v>
      </c>
      <c r="E372" s="25" t="s">
        <v>623</v>
      </c>
      <c r="F372" s="26">
        <v>0.01</v>
      </c>
      <c r="G372" s="27">
        <v>1</v>
      </c>
      <c r="H372" s="28">
        <f>F372 * G372 * 74537.758</f>
        <v>745.37758000000008</v>
      </c>
      <c r="I372" s="28">
        <f>F372 * G372 * 1440380.344544</f>
        <v>14403.80344544</v>
      </c>
      <c r="J372" s="28">
        <f>F372 * G372 * 0</f>
        <v>0</v>
      </c>
      <c r="K372" s="28">
        <f>F372 * G372 * 70959.945616</f>
        <v>709.59945615999993</v>
      </c>
      <c r="L372" s="28">
        <f>F372 * G372 * 166517.195056999</f>
        <v>1665.1719505699898</v>
      </c>
      <c r="M372" s="28">
        <f>F372 * G372 * 14907.5516</f>
        <v>149.07551600000002</v>
      </c>
      <c r="N372" s="29">
        <f>SUM(H372:M372)</f>
        <v>17673.027948169991</v>
      </c>
      <c r="O372" s="30">
        <f t="shared" si="157"/>
        <v>21642.655120748197</v>
      </c>
      <c r="P372" s="31">
        <f t="shared" si="158"/>
        <v>0.1478687048778948</v>
      </c>
    </row>
    <row r="373" spans="2:16" x14ac:dyDescent="0.25">
      <c r="B373" s="33"/>
      <c r="C373" s="34" t="s">
        <v>803</v>
      </c>
      <c r="D373" s="98" t="s">
        <v>804</v>
      </c>
      <c r="E373" s="98"/>
      <c r="F373" s="98"/>
      <c r="G373" s="98"/>
      <c r="H373" s="98"/>
      <c r="I373" s="98"/>
      <c r="J373" s="98"/>
      <c r="K373" s="98"/>
      <c r="L373" s="98"/>
      <c r="M373" s="98"/>
      <c r="N373" s="98"/>
      <c r="O373" s="98"/>
      <c r="P373" s="98"/>
    </row>
    <row r="374" spans="2:16" ht="30" x14ac:dyDescent="0.25">
      <c r="B374" s="23">
        <v>24</v>
      </c>
      <c r="C374" s="24" t="s">
        <v>805</v>
      </c>
      <c r="D374" s="25" t="s">
        <v>806</v>
      </c>
      <c r="E374" s="25" t="s">
        <v>623</v>
      </c>
      <c r="F374" s="26">
        <v>0.01</v>
      </c>
      <c r="G374" s="27">
        <v>1</v>
      </c>
      <c r="H374" s="28">
        <f>F374 * G374 * 82595.894</f>
        <v>825.95893999999998</v>
      </c>
      <c r="I374" s="28">
        <f>F374 * G374 * 9423.373493</f>
        <v>94.233734929999997</v>
      </c>
      <c r="J374" s="28">
        <f>F374 * G374 * 0</f>
        <v>0</v>
      </c>
      <c r="K374" s="28">
        <f>F374 * G374 * 78631.291088</f>
        <v>786.31291088</v>
      </c>
      <c r="L374" s="28">
        <f>F374 * G374 * 17918.308651</f>
        <v>179.18308651000001</v>
      </c>
      <c r="M374" s="28">
        <f>F374 * G374 * 16519.1788</f>
        <v>165.19178800000003</v>
      </c>
      <c r="N374" s="29">
        <f>SUM(H374:M374)</f>
        <v>2050.8804603200001</v>
      </c>
      <c r="O374" s="30">
        <f t="shared" ref="O374:O376" si="159">N374*1.07*1.09*1.05</f>
        <v>2511.5389749147771</v>
      </c>
      <c r="P374" s="31">
        <f t="shared" ref="P374:P376" si="160">IF($P$9&gt;0,O374/$P$9/12,0)</f>
        <v>1.7159540426025369E-2</v>
      </c>
    </row>
    <row r="375" spans="2:16" ht="30" x14ac:dyDescent="0.25">
      <c r="B375" s="23">
        <v>25</v>
      </c>
      <c r="C375" s="24" t="s">
        <v>807</v>
      </c>
      <c r="D375" s="25" t="s">
        <v>808</v>
      </c>
      <c r="E375" s="25" t="s">
        <v>623</v>
      </c>
      <c r="F375" s="26">
        <v>0.01</v>
      </c>
      <c r="G375" s="27">
        <v>1</v>
      </c>
      <c r="H375" s="28">
        <f>F375 * G375 * 108784.836</f>
        <v>1087.84836</v>
      </c>
      <c r="I375" s="28">
        <f>F375 * G375 * 30284.919331</f>
        <v>302.84919331000003</v>
      </c>
      <c r="J375" s="28">
        <f>F375 * G375 * 0</f>
        <v>0</v>
      </c>
      <c r="K375" s="28">
        <f>F375 * G375 * 103563.163872</f>
        <v>1035.63163872</v>
      </c>
      <c r="L375" s="28">
        <f>F375 * G375 * 25476.456516</f>
        <v>254.76456515999999</v>
      </c>
      <c r="M375" s="28">
        <f>F375 * G375 * 21756.9672</f>
        <v>217.569672</v>
      </c>
      <c r="N375" s="29">
        <f>SUM(H375:M375)</f>
        <v>2898.66342919</v>
      </c>
      <c r="O375" s="30">
        <f t="shared" si="159"/>
        <v>3549.7467153375128</v>
      </c>
      <c r="P375" s="31">
        <f t="shared" si="160"/>
        <v>2.4252867613193906E-2</v>
      </c>
    </row>
    <row r="376" spans="2:16" ht="30" x14ac:dyDescent="0.25">
      <c r="B376" s="23">
        <v>26</v>
      </c>
      <c r="C376" s="24" t="s">
        <v>809</v>
      </c>
      <c r="D376" s="25" t="s">
        <v>810</v>
      </c>
      <c r="E376" s="25" t="s">
        <v>623</v>
      </c>
      <c r="F376" s="26">
        <v>0.01</v>
      </c>
      <c r="G376" s="27">
        <v>1</v>
      </c>
      <c r="H376" s="28">
        <f>F376 * G376 * 161162.72</f>
        <v>1611.6272000000001</v>
      </c>
      <c r="I376" s="28">
        <f>F376 * G376 * 30614.968544</f>
        <v>306.14968543999998</v>
      </c>
      <c r="J376" s="28">
        <f>F376 * G376 * 0</f>
        <v>0</v>
      </c>
      <c r="K376" s="28">
        <f>F376 * G376 * 153426.90944</f>
        <v>1534.2690943999999</v>
      </c>
      <c r="L376" s="28">
        <f>F376 * G376 * 36246.482788</f>
        <v>362.46482788000003</v>
      </c>
      <c r="M376" s="28">
        <f>F376 * G376 * 32232.544</f>
        <v>322.32544000000001</v>
      </c>
      <c r="N376" s="29">
        <f>SUM(H376:M376)</f>
        <v>4136.8362477199998</v>
      </c>
      <c r="O376" s="30">
        <f t="shared" si="159"/>
        <v>5066.0317215016294</v>
      </c>
      <c r="P376" s="31">
        <f t="shared" si="160"/>
        <v>3.4612553097084185E-2</v>
      </c>
    </row>
    <row r="377" spans="2:16" x14ac:dyDescent="0.25">
      <c r="B377" s="33"/>
      <c r="C377" s="34" t="s">
        <v>811</v>
      </c>
      <c r="D377" s="98" t="s">
        <v>812</v>
      </c>
      <c r="E377" s="98"/>
      <c r="F377" s="98"/>
      <c r="G377" s="98"/>
      <c r="H377" s="98"/>
      <c r="I377" s="98"/>
      <c r="J377" s="98"/>
      <c r="K377" s="98"/>
      <c r="L377" s="98"/>
      <c r="M377" s="98"/>
      <c r="N377" s="98"/>
      <c r="O377" s="98"/>
      <c r="P377" s="98"/>
    </row>
    <row r="378" spans="2:16" ht="30" x14ac:dyDescent="0.25">
      <c r="B378" s="23">
        <v>27</v>
      </c>
      <c r="C378" s="24" t="s">
        <v>813</v>
      </c>
      <c r="D378" s="25" t="s">
        <v>814</v>
      </c>
      <c r="E378" s="25" t="s">
        <v>815</v>
      </c>
      <c r="F378" s="26">
        <v>0.02</v>
      </c>
      <c r="G378" s="27">
        <v>1</v>
      </c>
      <c r="H378" s="28">
        <f>F378 * G378 * 16720.6322</f>
        <v>334.412644</v>
      </c>
      <c r="I378" s="28">
        <f>F378 * G378 * 33083.432875</f>
        <v>661.66865749999999</v>
      </c>
      <c r="J378" s="28">
        <f>F378 * G378 * 0</f>
        <v>0</v>
      </c>
      <c r="K378" s="28">
        <f>F378 * G378 * 15918.041854</f>
        <v>318.36083708000001</v>
      </c>
      <c r="L378" s="28">
        <f>F378 * G378 * 6900.821228</f>
        <v>138.01642455999999</v>
      </c>
      <c r="M378" s="28">
        <f>F378 * G378 * 3344.12644</f>
        <v>66.882528800000003</v>
      </c>
      <c r="N378" s="29">
        <f>SUM(H378:M378)</f>
        <v>1519.3410919400001</v>
      </c>
      <c r="O378" s="30">
        <f t="shared" ref="O378" si="161">N378*1.07*1.09*1.05</f>
        <v>1860.6078913061035</v>
      </c>
      <c r="P378" s="31">
        <f>IF($P$9&gt;0,O378/$P$9/12,0)</f>
        <v>1.2712196245703203E-2</v>
      </c>
    </row>
    <row r="379" spans="2:16" x14ac:dyDescent="0.25">
      <c r="B379" s="33"/>
      <c r="C379" s="34" t="s">
        <v>816</v>
      </c>
      <c r="D379" s="98" t="s">
        <v>817</v>
      </c>
      <c r="E379" s="98"/>
      <c r="F379" s="98"/>
      <c r="G379" s="98"/>
      <c r="H379" s="98"/>
      <c r="I379" s="98"/>
      <c r="J379" s="98"/>
      <c r="K379" s="98"/>
      <c r="L379" s="98"/>
      <c r="M379" s="98"/>
      <c r="N379" s="98"/>
      <c r="O379" s="98"/>
      <c r="P379" s="98"/>
    </row>
    <row r="380" spans="2:16" ht="30" x14ac:dyDescent="0.25">
      <c r="B380" s="23">
        <v>28</v>
      </c>
      <c r="C380" s="24" t="s">
        <v>818</v>
      </c>
      <c r="D380" s="25" t="s">
        <v>819</v>
      </c>
      <c r="E380" s="25" t="s">
        <v>815</v>
      </c>
      <c r="F380" s="26">
        <v>0.02</v>
      </c>
      <c r="G380" s="27">
        <v>1</v>
      </c>
      <c r="H380" s="28">
        <f>F380 * G380 * 12236.8516</f>
        <v>244.737032</v>
      </c>
      <c r="I380" s="28">
        <f>F380 * G380 * 19636.708882</f>
        <v>392.73417763999998</v>
      </c>
      <c r="J380" s="28">
        <f>F380 * G380 * 0</f>
        <v>0</v>
      </c>
      <c r="K380" s="28">
        <f>F380 * G380 * 11649.482723</f>
        <v>232.98965446</v>
      </c>
      <c r="L380" s="28">
        <f>F380 * G380 * 4569.919537</f>
        <v>91.398390739999996</v>
      </c>
      <c r="M380" s="28">
        <f>F380 * G380 * 2447.37032</f>
        <v>48.947406399999998</v>
      </c>
      <c r="N380" s="29">
        <f>SUM(H380:M380)</f>
        <v>1010.8066612399999</v>
      </c>
      <c r="O380" s="30">
        <f t="shared" ref="O380" si="162">N380*1.07*1.09*1.05</f>
        <v>1237.8489994544227</v>
      </c>
      <c r="P380" s="31">
        <f>IF($P$9&gt;0,O380/$P$9/12,0)</f>
        <v>8.457332400415558E-3</v>
      </c>
    </row>
    <row r="381" spans="2:16" x14ac:dyDescent="0.25">
      <c r="B381" s="33"/>
      <c r="C381" s="34" t="s">
        <v>820</v>
      </c>
      <c r="D381" s="98" t="s">
        <v>821</v>
      </c>
      <c r="E381" s="98"/>
      <c r="F381" s="98"/>
      <c r="G381" s="98"/>
      <c r="H381" s="98"/>
      <c r="I381" s="98"/>
      <c r="J381" s="98"/>
      <c r="K381" s="98"/>
      <c r="L381" s="98"/>
      <c r="M381" s="98"/>
      <c r="N381" s="98"/>
      <c r="O381" s="98"/>
      <c r="P381" s="98"/>
    </row>
    <row r="382" spans="2:16" x14ac:dyDescent="0.25">
      <c r="B382" s="23">
        <v>29</v>
      </c>
      <c r="C382" s="24" t="s">
        <v>822</v>
      </c>
      <c r="D382" s="25" t="s">
        <v>823</v>
      </c>
      <c r="E382" s="25" t="s">
        <v>824</v>
      </c>
      <c r="F382" s="26">
        <v>0.01</v>
      </c>
      <c r="G382" s="27">
        <v>1</v>
      </c>
      <c r="H382" s="28">
        <f>F382 * G382 * 11623.5391999999</f>
        <v>116.235391999999</v>
      </c>
      <c r="I382" s="28">
        <f>F382 * G382 * 36594.350975</f>
        <v>365.94350975000003</v>
      </c>
      <c r="J382" s="28">
        <f>F382 * G382 * 0</f>
        <v>0</v>
      </c>
      <c r="K382" s="28">
        <f>F382 * G382 * 11065.6093179999</f>
        <v>110.656093179999</v>
      </c>
      <c r="L382" s="28">
        <f>F382 * G382 * 6224.767446</f>
        <v>62.247674459999999</v>
      </c>
      <c r="M382" s="28">
        <f>F382 * G382 * 2324.70784</f>
        <v>23.247078399999999</v>
      </c>
      <c r="N382" s="29">
        <f>SUM(H382:M382)</f>
        <v>678.3297477899979</v>
      </c>
      <c r="O382" s="30">
        <f t="shared" ref="O382" si="163">N382*1.07*1.09*1.05</f>
        <v>830.69278408984837</v>
      </c>
      <c r="P382" s="31">
        <f>IF($P$9&gt;0,O382/$P$9/12,0)</f>
        <v>5.6755266601749635E-3</v>
      </c>
    </row>
    <row r="383" spans="2:16" x14ac:dyDescent="0.25">
      <c r="B383" s="33"/>
      <c r="C383" s="34" t="s">
        <v>825</v>
      </c>
      <c r="D383" s="96" t="s">
        <v>826</v>
      </c>
      <c r="E383" s="96"/>
      <c r="F383" s="96"/>
      <c r="G383" s="96"/>
      <c r="H383" s="96"/>
      <c r="I383" s="96"/>
      <c r="J383" s="96"/>
      <c r="K383" s="96"/>
      <c r="L383" s="96"/>
      <c r="M383" s="96"/>
      <c r="N383" s="96"/>
      <c r="O383" s="96"/>
      <c r="P383" s="96"/>
    </row>
    <row r="384" spans="2:16" x14ac:dyDescent="0.25">
      <c r="B384" s="33"/>
      <c r="C384" s="34" t="s">
        <v>827</v>
      </c>
      <c r="D384" s="98" t="s">
        <v>828</v>
      </c>
      <c r="E384" s="98"/>
      <c r="F384" s="98"/>
      <c r="G384" s="98"/>
      <c r="H384" s="98"/>
      <c r="I384" s="98"/>
      <c r="J384" s="98"/>
      <c r="K384" s="98"/>
      <c r="L384" s="98"/>
      <c r="M384" s="98"/>
      <c r="N384" s="98"/>
      <c r="O384" s="98"/>
      <c r="P384" s="98"/>
    </row>
    <row r="385" spans="2:16" ht="30" x14ac:dyDescent="0.25">
      <c r="B385" s="23">
        <v>30</v>
      </c>
      <c r="C385" s="24" t="s">
        <v>829</v>
      </c>
      <c r="D385" s="25" t="s">
        <v>830</v>
      </c>
      <c r="E385" s="25" t="s">
        <v>831</v>
      </c>
      <c r="F385" s="26">
        <v>2</v>
      </c>
      <c r="G385" s="27">
        <v>1</v>
      </c>
      <c r="H385" s="28">
        <f>F385 * G385 * 84.941248</f>
        <v>169.882496</v>
      </c>
      <c r="I385" s="28">
        <f>F385 * G385 * 382.59504</f>
        <v>765.19007999999997</v>
      </c>
      <c r="J385" s="28">
        <f>F385 * G385 * 0</f>
        <v>0</v>
      </c>
      <c r="K385" s="28">
        <f>F385 * G385 * 80.864068</f>
        <v>161.72813600000001</v>
      </c>
      <c r="L385" s="28">
        <f>F385 * G385 * 57.582038</f>
        <v>115.16407599999999</v>
      </c>
      <c r="M385" s="28">
        <f>F385 * G385 * 16.98825</f>
        <v>33.976500000000001</v>
      </c>
      <c r="N385" s="29">
        <f>SUM(H385:M385)</f>
        <v>1245.941288</v>
      </c>
      <c r="O385" s="30">
        <f t="shared" ref="O385:O386" si="164">N385*1.07*1.09*1.05</f>
        <v>1525.7983904041203</v>
      </c>
      <c r="P385" s="31">
        <f t="shared" ref="P385:P386" si="165">IF($P$9&gt;0,O385/$P$9/12,0)</f>
        <v>1.0424683599820449E-2</v>
      </c>
    </row>
    <row r="386" spans="2:16" ht="30" x14ac:dyDescent="0.25">
      <c r="B386" s="23">
        <v>31</v>
      </c>
      <c r="C386" s="24" t="s">
        <v>832</v>
      </c>
      <c r="D386" s="25" t="s">
        <v>833</v>
      </c>
      <c r="E386" s="25" t="s">
        <v>831</v>
      </c>
      <c r="F386" s="26">
        <v>2</v>
      </c>
      <c r="G386" s="27">
        <v>1</v>
      </c>
      <c r="H386" s="28">
        <f>F386 * G386 * 84.941248</f>
        <v>169.882496</v>
      </c>
      <c r="I386" s="28">
        <f>F386 * G386 * 598.41528</f>
        <v>1196.8305600000001</v>
      </c>
      <c r="J386" s="28">
        <f>F386 * G386 * 0</f>
        <v>0</v>
      </c>
      <c r="K386" s="28">
        <f>F386 * G386 * 80.864068</f>
        <v>161.72813600000001</v>
      </c>
      <c r="L386" s="28">
        <f>F386 * G386 * 80.243163</f>
        <v>160.48632599999999</v>
      </c>
      <c r="M386" s="28">
        <f>F386 * G386 * 16.98825</f>
        <v>33.976500000000001</v>
      </c>
      <c r="N386" s="29">
        <f>SUM(H386:M386)</f>
        <v>1722.904018</v>
      </c>
      <c r="O386" s="30">
        <f t="shared" si="164"/>
        <v>2109.8941040030704</v>
      </c>
      <c r="P386" s="31">
        <f t="shared" si="165"/>
        <v>1.4415389740667585E-2</v>
      </c>
    </row>
    <row r="387" spans="2:16" x14ac:dyDescent="0.25">
      <c r="B387" s="33"/>
      <c r="C387" s="34" t="s">
        <v>834</v>
      </c>
      <c r="D387" s="98" t="s">
        <v>835</v>
      </c>
      <c r="E387" s="98"/>
      <c r="F387" s="98"/>
      <c r="G387" s="98"/>
      <c r="H387" s="98"/>
      <c r="I387" s="98"/>
      <c r="J387" s="98"/>
      <c r="K387" s="98"/>
      <c r="L387" s="98"/>
      <c r="M387" s="98"/>
      <c r="N387" s="98"/>
      <c r="O387" s="98"/>
      <c r="P387" s="98"/>
    </row>
    <row r="388" spans="2:16" ht="30" x14ac:dyDescent="0.25">
      <c r="B388" s="23">
        <v>32</v>
      </c>
      <c r="C388" s="24" t="s">
        <v>836</v>
      </c>
      <c r="D388" s="25" t="s">
        <v>837</v>
      </c>
      <c r="E388" s="25" t="s">
        <v>831</v>
      </c>
      <c r="F388" s="26">
        <v>2</v>
      </c>
      <c r="G388" s="27">
        <v>1</v>
      </c>
      <c r="H388" s="28">
        <f>F388 * G388 * 84.941248</f>
        <v>169.882496</v>
      </c>
      <c r="I388" s="28">
        <f>F388 * G388 * 1155.1284</f>
        <v>2310.2568000000001</v>
      </c>
      <c r="J388" s="28">
        <f>F388 * G388 * 0</f>
        <v>0</v>
      </c>
      <c r="K388" s="28">
        <f>F388 * G388 * 80.864068</f>
        <v>161.72813600000001</v>
      </c>
      <c r="L388" s="28">
        <f>F388 * G388 * 138.698041</f>
        <v>277.39608199999998</v>
      </c>
      <c r="M388" s="28">
        <f>F388 * G388 * 16.98825</f>
        <v>33.976500000000001</v>
      </c>
      <c r="N388" s="29">
        <f>SUM(H388:M388)</f>
        <v>2953.2400140000004</v>
      </c>
      <c r="O388" s="30">
        <f t="shared" ref="O388:O390" si="166">N388*1.07*1.09*1.05</f>
        <v>3616.582019744611</v>
      </c>
      <c r="P388" s="31">
        <f t="shared" ref="P388:P390" si="167">IF($P$9&gt;0,O388/$P$9/12,0)</f>
        <v>2.4709505204453353E-2</v>
      </c>
    </row>
    <row r="389" spans="2:16" ht="30" x14ac:dyDescent="0.25">
      <c r="B389" s="23">
        <v>33</v>
      </c>
      <c r="C389" s="24" t="s">
        <v>838</v>
      </c>
      <c r="D389" s="25" t="s">
        <v>839</v>
      </c>
      <c r="E389" s="25" t="s">
        <v>831</v>
      </c>
      <c r="F389" s="26">
        <v>2</v>
      </c>
      <c r="G389" s="27">
        <v>1</v>
      </c>
      <c r="H389" s="28">
        <f>F389 * G389 * 84.941248</f>
        <v>169.882496</v>
      </c>
      <c r="I389" s="28">
        <f>F389 * G389 * 1812.78624</f>
        <v>3625.5724799999998</v>
      </c>
      <c r="J389" s="28">
        <f>F389 * G389 * 0</f>
        <v>0</v>
      </c>
      <c r="K389" s="28">
        <f>F389 * G389 * 80.864068</f>
        <v>161.72813600000001</v>
      </c>
      <c r="L389" s="28">
        <f>F389 * G389 * 207.752114</f>
        <v>415.50422800000001</v>
      </c>
      <c r="M389" s="28">
        <f>F389 * G389 * 16.98825</f>
        <v>33.976500000000001</v>
      </c>
      <c r="N389" s="29">
        <f>SUM(H389:M389)</f>
        <v>4406.6638400000002</v>
      </c>
      <c r="O389" s="30">
        <f t="shared" si="166"/>
        <v>5396.4666384216007</v>
      </c>
      <c r="P389" s="31">
        <f t="shared" si="167"/>
        <v>3.6870177355234894E-2</v>
      </c>
    </row>
    <row r="390" spans="2:16" ht="45" x14ac:dyDescent="0.25">
      <c r="B390" s="23">
        <v>34</v>
      </c>
      <c r="C390" s="24" t="s">
        <v>840</v>
      </c>
      <c r="D390" s="25" t="s">
        <v>841</v>
      </c>
      <c r="E390" s="25" t="s">
        <v>842</v>
      </c>
      <c r="F390" s="26">
        <v>1</v>
      </c>
      <c r="G390" s="27">
        <v>2</v>
      </c>
      <c r="H390" s="28">
        <f>F390 * G390 * 13647.173776</f>
        <v>27294.347551999999</v>
      </c>
      <c r="I390" s="28">
        <f>F390 * G390 * 0</f>
        <v>0</v>
      </c>
      <c r="J390" s="28">
        <f>F390 * G390 * 0</f>
        <v>0</v>
      </c>
      <c r="K390" s="28">
        <f>F390 * G390 * 12992.1094339999</f>
        <v>25984.2188679998</v>
      </c>
      <c r="L390" s="28">
        <f>F390 * G390 * 2797.124737</f>
        <v>5594.2494740000002</v>
      </c>
      <c r="M390" s="28">
        <f>F390 * G390 * 2729.434755</f>
        <v>5458.8695100000004</v>
      </c>
      <c r="N390" s="29">
        <f>SUM(H390:M390)</f>
        <v>64331.6854039998</v>
      </c>
      <c r="O390" s="30">
        <f t="shared" si="166"/>
        <v>78781.546921019239</v>
      </c>
      <c r="P390" s="31">
        <f t="shared" si="167"/>
        <v>0.53825767894440735</v>
      </c>
    </row>
    <row r="391" spans="2:16" ht="12.75" customHeight="1" x14ac:dyDescent="0.25">
      <c r="B391" s="21"/>
      <c r="C391" s="22" t="s">
        <v>19</v>
      </c>
      <c r="D391" s="95" t="s">
        <v>20</v>
      </c>
      <c r="E391" s="95"/>
      <c r="F391" s="95"/>
      <c r="G391" s="95"/>
      <c r="H391" s="95"/>
      <c r="I391" s="95"/>
      <c r="J391" s="95"/>
      <c r="K391" s="95"/>
      <c r="L391" s="95"/>
      <c r="M391" s="95"/>
      <c r="N391" s="95"/>
      <c r="O391" s="95"/>
      <c r="P391" s="95"/>
    </row>
    <row r="392" spans="2:16" x14ac:dyDescent="0.25">
      <c r="B392" s="33"/>
      <c r="C392" s="34" t="s">
        <v>843</v>
      </c>
      <c r="D392" s="96" t="s">
        <v>844</v>
      </c>
      <c r="E392" s="96"/>
      <c r="F392" s="96"/>
      <c r="G392" s="96"/>
      <c r="H392" s="96"/>
      <c r="I392" s="96"/>
      <c r="J392" s="96"/>
      <c r="K392" s="96"/>
      <c r="L392" s="96"/>
      <c r="M392" s="96"/>
      <c r="N392" s="96"/>
      <c r="O392" s="96"/>
      <c r="P392" s="96"/>
    </row>
    <row r="393" spans="2:16" x14ac:dyDescent="0.25">
      <c r="B393" s="33"/>
      <c r="C393" s="34" t="s">
        <v>845</v>
      </c>
      <c r="D393" s="98" t="s">
        <v>846</v>
      </c>
      <c r="E393" s="98"/>
      <c r="F393" s="98"/>
      <c r="G393" s="98"/>
      <c r="H393" s="98"/>
      <c r="I393" s="98"/>
      <c r="J393" s="98"/>
      <c r="K393" s="98"/>
      <c r="L393" s="98"/>
      <c r="M393" s="98"/>
      <c r="N393" s="98"/>
      <c r="O393" s="98"/>
      <c r="P393" s="98"/>
    </row>
    <row r="394" spans="2:16" ht="45" x14ac:dyDescent="0.25">
      <c r="B394" s="23">
        <v>35</v>
      </c>
      <c r="C394" s="24" t="s">
        <v>847</v>
      </c>
      <c r="D394" s="25" t="s">
        <v>848</v>
      </c>
      <c r="E394" s="25" t="s">
        <v>849</v>
      </c>
      <c r="F394" s="26">
        <v>2.5310000000000001</v>
      </c>
      <c r="G394" s="27">
        <v>1</v>
      </c>
      <c r="H394" s="28">
        <f>F394 * G394 * 894.1184</f>
        <v>2263.0136704000001</v>
      </c>
      <c r="I394" s="28">
        <f>F394 * G394 * 0</f>
        <v>0</v>
      </c>
      <c r="J394" s="28">
        <f>F394 * G394 * 0</f>
        <v>0</v>
      </c>
      <c r="K394" s="28">
        <f>F394 * G394 * 851.200716999999</f>
        <v>2154.3890147269976</v>
      </c>
      <c r="L394" s="28">
        <f>F394 * G394 * 183.258508</f>
        <v>463.82728374800001</v>
      </c>
      <c r="M394" s="28">
        <f>F394 * G394 * 178.82368</f>
        <v>452.60273408</v>
      </c>
      <c r="N394" s="29">
        <f>SUM(H394:M394)</f>
        <v>5333.8327029549973</v>
      </c>
      <c r="O394" s="30">
        <f t="shared" ref="O394" si="168">N394*1.07*1.09*1.05</f>
        <v>6531.8915355292347</v>
      </c>
      <c r="P394" s="31">
        <f>IF($P$9&gt;0,O394/$P$9/12,0)</f>
        <v>4.4627719490648206E-2</v>
      </c>
    </row>
    <row r="395" spans="2:16" x14ac:dyDescent="0.25">
      <c r="B395" s="33"/>
      <c r="C395" s="34" t="s">
        <v>850</v>
      </c>
      <c r="D395" s="98" t="s">
        <v>851</v>
      </c>
      <c r="E395" s="98"/>
      <c r="F395" s="98"/>
      <c r="G395" s="98"/>
      <c r="H395" s="98"/>
      <c r="I395" s="98"/>
      <c r="J395" s="98"/>
      <c r="K395" s="98"/>
      <c r="L395" s="98"/>
      <c r="M395" s="98"/>
      <c r="N395" s="98"/>
      <c r="O395" s="98"/>
      <c r="P395" s="98"/>
    </row>
    <row r="396" spans="2:16" ht="30" x14ac:dyDescent="0.25">
      <c r="B396" s="23">
        <v>36</v>
      </c>
      <c r="C396" s="24" t="s">
        <v>852</v>
      </c>
      <c r="D396" s="25" t="s">
        <v>853</v>
      </c>
      <c r="E396" s="25" t="s">
        <v>79</v>
      </c>
      <c r="F396" s="26">
        <v>0.49</v>
      </c>
      <c r="G396" s="27">
        <v>1</v>
      </c>
      <c r="H396" s="28">
        <f>F396 * G396 * 831.18508</f>
        <v>407.28068919999998</v>
      </c>
      <c r="I396" s="28">
        <f>F396 * G396 * 0</f>
        <v>0</v>
      </c>
      <c r="J396" s="28">
        <f>F396 * G396 * 64.469775</f>
        <v>31.59018975</v>
      </c>
      <c r="K396" s="28">
        <f>F396 * G396 * 791.288196</f>
        <v>387.73121603999999</v>
      </c>
      <c r="L396" s="28">
        <f>F396 * G396 * 177.12902</f>
        <v>86.793219800000003</v>
      </c>
      <c r="M396" s="28">
        <f>F396 * G396 * 166.237016</f>
        <v>81.456137840000011</v>
      </c>
      <c r="N396" s="29">
        <f t="shared" ref="N396:N402" si="169">SUM(H396:M396)</f>
        <v>994.85145262999993</v>
      </c>
      <c r="O396" s="30">
        <f t="shared" ref="O396:O402" si="170">N396*1.07*1.09*1.05</f>
        <v>1218.3100116624878</v>
      </c>
      <c r="P396" s="31">
        <f t="shared" ref="P396:P402" si="171">IF($P$9&gt;0,O396/$P$9/12,0)</f>
        <v>8.3238365421995017E-3</v>
      </c>
    </row>
    <row r="397" spans="2:16" ht="30" x14ac:dyDescent="0.25">
      <c r="B397" s="23">
        <v>37</v>
      </c>
      <c r="C397" s="24" t="s">
        <v>854</v>
      </c>
      <c r="D397" s="25" t="s">
        <v>855</v>
      </c>
      <c r="E397" s="25" t="s">
        <v>79</v>
      </c>
      <c r="F397" s="26">
        <v>0.49</v>
      </c>
      <c r="G397" s="27">
        <v>1</v>
      </c>
      <c r="H397" s="28">
        <f>F397 * G397 * 778.291484</f>
        <v>381.36282715999999</v>
      </c>
      <c r="I397" s="28">
        <f>F397 * G397 * 8.000745</f>
        <v>3.92036505</v>
      </c>
      <c r="J397" s="28">
        <f>F397 * G397 * 0</f>
        <v>0</v>
      </c>
      <c r="K397" s="28">
        <f>F397 * G397 * 740.933493</f>
        <v>363.05741157</v>
      </c>
      <c r="L397" s="28">
        <f>F397 * G397 * 160.358701</f>
        <v>78.57576349</v>
      </c>
      <c r="M397" s="28">
        <f>F397 * G397 * 155.658297</f>
        <v>76.272565529999994</v>
      </c>
      <c r="N397" s="29">
        <f t="shared" si="169"/>
        <v>903.18893279999998</v>
      </c>
      <c r="O397" s="30">
        <f t="shared" si="170"/>
        <v>1106.0587149408721</v>
      </c>
      <c r="P397" s="31">
        <f t="shared" si="171"/>
        <v>7.5569041221944739E-3</v>
      </c>
    </row>
    <row r="398" spans="2:16" ht="30" x14ac:dyDescent="0.25">
      <c r="B398" s="23">
        <v>38</v>
      </c>
      <c r="C398" s="24" t="s">
        <v>856</v>
      </c>
      <c r="D398" s="25" t="s">
        <v>857</v>
      </c>
      <c r="E398" s="25" t="s">
        <v>79</v>
      </c>
      <c r="F398" s="26">
        <v>0.49</v>
      </c>
      <c r="G398" s="27">
        <v>1</v>
      </c>
      <c r="H398" s="28">
        <f>F398 * G398 * 327.436544</f>
        <v>160.44390656000002</v>
      </c>
      <c r="I398" s="28">
        <f>F398 * G398 * 0</f>
        <v>0</v>
      </c>
      <c r="J398" s="28">
        <f>F398 * G398 * 64.469775</f>
        <v>31.59018975</v>
      </c>
      <c r="K398" s="28">
        <f>F398 * G398 * 311.71959</f>
        <v>152.74259909999998</v>
      </c>
      <c r="L398" s="28">
        <f>F398 * G398 * 73.880721</f>
        <v>36.20155329</v>
      </c>
      <c r="M398" s="28">
        <f>F398 * G398 * 65.487309</f>
        <v>32.088781409999996</v>
      </c>
      <c r="N398" s="29">
        <f t="shared" si="169"/>
        <v>413.06703011000002</v>
      </c>
      <c r="O398" s="30">
        <f t="shared" si="170"/>
        <v>505.84808107815775</v>
      </c>
      <c r="P398" s="31">
        <f t="shared" si="171"/>
        <v>3.4560963152015368E-3</v>
      </c>
    </row>
    <row r="399" spans="2:16" ht="30" x14ac:dyDescent="0.25">
      <c r="B399" s="23">
        <v>39</v>
      </c>
      <c r="C399" s="24" t="s">
        <v>858</v>
      </c>
      <c r="D399" s="25" t="s">
        <v>859</v>
      </c>
      <c r="E399" s="25" t="s">
        <v>79</v>
      </c>
      <c r="F399" s="26">
        <v>0.56000000000000005</v>
      </c>
      <c r="G399" s="27">
        <v>1</v>
      </c>
      <c r="H399" s="28">
        <f>F399 * G399 * 831.18508</f>
        <v>465.46364480000005</v>
      </c>
      <c r="I399" s="28">
        <f>F399 * G399 * 0</f>
        <v>0</v>
      </c>
      <c r="J399" s="28">
        <f>F399 * G399 * 64.469775</f>
        <v>36.103073999999999</v>
      </c>
      <c r="K399" s="28">
        <f>F399 * G399 * 791.288196</f>
        <v>443.12138976</v>
      </c>
      <c r="L399" s="28">
        <f>F399 * G399 * 177.12902</f>
        <v>99.192251200000001</v>
      </c>
      <c r="M399" s="28">
        <f>F399 * G399 * 166.237016</f>
        <v>93.092728960000017</v>
      </c>
      <c r="N399" s="29">
        <f t="shared" si="169"/>
        <v>1136.9730887200001</v>
      </c>
      <c r="O399" s="30">
        <f t="shared" si="170"/>
        <v>1392.3542990428432</v>
      </c>
      <c r="P399" s="31">
        <f t="shared" si="171"/>
        <v>9.5129560482280009E-3</v>
      </c>
    </row>
    <row r="400" spans="2:16" ht="30" x14ac:dyDescent="0.25">
      <c r="B400" s="23">
        <v>40</v>
      </c>
      <c r="C400" s="24" t="s">
        <v>860</v>
      </c>
      <c r="D400" s="25" t="s">
        <v>861</v>
      </c>
      <c r="E400" s="25" t="s">
        <v>79</v>
      </c>
      <c r="F400" s="26">
        <v>0.56000000000000005</v>
      </c>
      <c r="G400" s="27">
        <v>1</v>
      </c>
      <c r="H400" s="28">
        <f>F400 * G400 * 778.291484</f>
        <v>435.84323104000003</v>
      </c>
      <c r="I400" s="28">
        <f>F400 * G400 * 8.000745</f>
        <v>4.4804172000000007</v>
      </c>
      <c r="J400" s="28">
        <f>F400 * G400 * 0</f>
        <v>0</v>
      </c>
      <c r="K400" s="28">
        <f>F400 * G400 * 740.933493</f>
        <v>414.92275608000006</v>
      </c>
      <c r="L400" s="28">
        <f>F400 * G400 * 160.358701</f>
        <v>89.800872560000002</v>
      </c>
      <c r="M400" s="28">
        <f>F400 * G400 * 155.658297</f>
        <v>87.168646320000008</v>
      </c>
      <c r="N400" s="29">
        <f t="shared" si="169"/>
        <v>1032.2159232000001</v>
      </c>
      <c r="O400" s="30">
        <f t="shared" si="170"/>
        <v>1264.0671027895685</v>
      </c>
      <c r="P400" s="31">
        <f t="shared" si="171"/>
        <v>8.6364618539365445E-3</v>
      </c>
    </row>
    <row r="401" spans="2:16" ht="30" x14ac:dyDescent="0.25">
      <c r="B401" s="23">
        <v>41</v>
      </c>
      <c r="C401" s="24" t="s">
        <v>862</v>
      </c>
      <c r="D401" s="25" t="s">
        <v>863</v>
      </c>
      <c r="E401" s="25" t="s">
        <v>79</v>
      </c>
      <c r="F401" s="26">
        <v>0.56000000000000005</v>
      </c>
      <c r="G401" s="27">
        <v>1</v>
      </c>
      <c r="H401" s="28">
        <f>F401 * G401 * 324.917804</f>
        <v>181.95397024000002</v>
      </c>
      <c r="I401" s="28">
        <f>F401 * G401 * 0</f>
        <v>0</v>
      </c>
      <c r="J401" s="28">
        <f>F401 * G401 * 64.469775</f>
        <v>36.103073999999999</v>
      </c>
      <c r="K401" s="28">
        <f>F401 * G401 * 309.32175</f>
        <v>173.22018000000003</v>
      </c>
      <c r="L401" s="28">
        <f>F401 * G401 * 73.36448</f>
        <v>41.084108800000003</v>
      </c>
      <c r="M401" s="28">
        <f>F401 * G401 * 64.983561</f>
        <v>36.390794159999999</v>
      </c>
      <c r="N401" s="29">
        <f t="shared" si="169"/>
        <v>468.75212720000002</v>
      </c>
      <c r="O401" s="30">
        <f t="shared" si="170"/>
        <v>574.04088625102816</v>
      </c>
      <c r="P401" s="31">
        <f t="shared" si="171"/>
        <v>3.9220087333704202E-3</v>
      </c>
    </row>
    <row r="402" spans="2:16" ht="30" x14ac:dyDescent="0.25">
      <c r="B402" s="23">
        <v>42</v>
      </c>
      <c r="C402" s="24" t="s">
        <v>864</v>
      </c>
      <c r="D402" s="25" t="s">
        <v>865</v>
      </c>
      <c r="E402" s="25" t="s">
        <v>79</v>
      </c>
      <c r="F402" s="26">
        <v>0.56000000000000005</v>
      </c>
      <c r="G402" s="27">
        <v>1</v>
      </c>
      <c r="H402" s="28">
        <f>F402 * G402 * 23.811696</f>
        <v>13.334549760000002</v>
      </c>
      <c r="I402" s="28">
        <f>F402 * G402 * 0</f>
        <v>0</v>
      </c>
      <c r="J402" s="28">
        <f>F402 * G402 * 0</f>
        <v>0</v>
      </c>
      <c r="K402" s="28">
        <f>F402 * G402 * 22.668734</f>
        <v>12.694491040000001</v>
      </c>
      <c r="L402" s="28">
        <f>F402 * G402 * 4.880445</f>
        <v>2.7330492000000004</v>
      </c>
      <c r="M402" s="28">
        <f>F402 * G402 * 4.762339</f>
        <v>2.6669098400000002</v>
      </c>
      <c r="N402" s="29">
        <f t="shared" si="169"/>
        <v>31.428999840000003</v>
      </c>
      <c r="O402" s="30">
        <f t="shared" si="170"/>
        <v>38.488424639061613</v>
      </c>
      <c r="P402" s="31">
        <f t="shared" si="171"/>
        <v>2.6296373861784051E-4</v>
      </c>
    </row>
    <row r="403" spans="2:16" x14ac:dyDescent="0.25">
      <c r="B403" s="33"/>
      <c r="C403" s="34" t="s">
        <v>866</v>
      </c>
      <c r="D403" s="98" t="s">
        <v>867</v>
      </c>
      <c r="E403" s="98"/>
      <c r="F403" s="98"/>
      <c r="G403" s="98"/>
      <c r="H403" s="98"/>
      <c r="I403" s="98"/>
      <c r="J403" s="98"/>
      <c r="K403" s="98"/>
      <c r="L403" s="98"/>
      <c r="M403" s="98"/>
      <c r="N403" s="98"/>
      <c r="O403" s="98"/>
      <c r="P403" s="98"/>
    </row>
    <row r="404" spans="2:16" ht="30" x14ac:dyDescent="0.25">
      <c r="B404" s="23">
        <v>43</v>
      </c>
      <c r="C404" s="24" t="s">
        <v>868</v>
      </c>
      <c r="D404" s="25" t="s">
        <v>869</v>
      </c>
      <c r="E404" s="25" t="s">
        <v>870</v>
      </c>
      <c r="F404" s="26">
        <v>30.4465</v>
      </c>
      <c r="G404" s="27">
        <v>1</v>
      </c>
      <c r="H404" s="28">
        <f>F404 * G404 * 183.552774</f>
        <v>5588.5395335909998</v>
      </c>
      <c r="I404" s="28">
        <f>F404 * G404 * 0</f>
        <v>0</v>
      </c>
      <c r="J404" s="28">
        <f>F404 * G404 * 0</f>
        <v>0</v>
      </c>
      <c r="K404" s="28">
        <f>F404 * G404 * 174.742241</f>
        <v>5320.2896406065001</v>
      </c>
      <c r="L404" s="28">
        <f>F404 * G404 * 37.620976</f>
        <v>1145.427045784</v>
      </c>
      <c r="M404" s="28">
        <f>F404 * G404 * 36.710555</f>
        <v>1117.7079128075</v>
      </c>
      <c r="N404" s="29">
        <f>SUM(H404:M404)</f>
        <v>13171.964132789</v>
      </c>
      <c r="O404" s="30">
        <f t="shared" ref="O404:O405" si="172">N404*1.07*1.09*1.05</f>
        <v>16130.584856475405</v>
      </c>
      <c r="P404" s="31">
        <f t="shared" ref="P404:P405" si="173">IF($P$9&gt;0,O404/$P$9/12,0)</f>
        <v>0.11020869104749396</v>
      </c>
    </row>
    <row r="405" spans="2:16" ht="30" x14ac:dyDescent="0.25">
      <c r="B405" s="23">
        <v>44</v>
      </c>
      <c r="C405" s="24" t="s">
        <v>871</v>
      </c>
      <c r="D405" s="25" t="s">
        <v>872</v>
      </c>
      <c r="E405" s="25" t="s">
        <v>870</v>
      </c>
      <c r="F405" s="26">
        <v>30.4465</v>
      </c>
      <c r="G405" s="27">
        <v>1</v>
      </c>
      <c r="H405" s="28">
        <f>F405 * G405 * 183.552774</f>
        <v>5588.5395335909998</v>
      </c>
      <c r="I405" s="28">
        <f>F405 * G405 * 0</f>
        <v>0</v>
      </c>
      <c r="J405" s="28">
        <f>F405 * G405 * 0</f>
        <v>0</v>
      </c>
      <c r="K405" s="28">
        <f>F405 * G405 * 174.742241</f>
        <v>5320.2896406065001</v>
      </c>
      <c r="L405" s="28">
        <f>F405 * G405 * 37.620976</f>
        <v>1145.427045784</v>
      </c>
      <c r="M405" s="28">
        <f>F405 * G405 * 36.710555</f>
        <v>1117.7079128075</v>
      </c>
      <c r="N405" s="29">
        <f>SUM(H405:M405)</f>
        <v>13171.964132789</v>
      </c>
      <c r="O405" s="30">
        <f t="shared" si="172"/>
        <v>16130.584856475405</v>
      </c>
      <c r="P405" s="31">
        <f t="shared" si="173"/>
        <v>0.11020869104749396</v>
      </c>
    </row>
    <row r="406" spans="2:16" x14ac:dyDescent="0.25">
      <c r="B406" s="33"/>
      <c r="C406" s="34" t="s">
        <v>221</v>
      </c>
      <c r="D406" s="96" t="s">
        <v>222</v>
      </c>
      <c r="E406" s="96"/>
      <c r="F406" s="96"/>
      <c r="G406" s="96"/>
      <c r="H406" s="96"/>
      <c r="I406" s="96"/>
      <c r="J406" s="96"/>
      <c r="K406" s="96"/>
      <c r="L406" s="96"/>
      <c r="M406" s="96"/>
      <c r="N406" s="96"/>
      <c r="O406" s="96"/>
      <c r="P406" s="96"/>
    </row>
    <row r="407" spans="2:16" x14ac:dyDescent="0.25">
      <c r="B407" s="33"/>
      <c r="C407" s="34" t="s">
        <v>873</v>
      </c>
      <c r="D407" s="98" t="s">
        <v>874</v>
      </c>
      <c r="E407" s="98"/>
      <c r="F407" s="98"/>
      <c r="G407" s="98"/>
      <c r="H407" s="98"/>
      <c r="I407" s="98"/>
      <c r="J407" s="98"/>
      <c r="K407" s="98"/>
      <c r="L407" s="98"/>
      <c r="M407" s="98"/>
      <c r="N407" s="98"/>
      <c r="O407" s="98"/>
      <c r="P407" s="98"/>
    </row>
    <row r="408" spans="2:16" ht="45" x14ac:dyDescent="0.25">
      <c r="B408" s="23">
        <v>45</v>
      </c>
      <c r="C408" s="24" t="s">
        <v>875</v>
      </c>
      <c r="D408" s="25" t="s">
        <v>876</v>
      </c>
      <c r="E408" s="25" t="s">
        <v>877</v>
      </c>
      <c r="F408" s="26">
        <v>1</v>
      </c>
      <c r="G408" s="27">
        <v>1</v>
      </c>
      <c r="H408" s="28">
        <f>F408 * G408 * 22.35296</f>
        <v>22.352959999999999</v>
      </c>
      <c r="I408" s="28">
        <f>F408 * G408 * 0</f>
        <v>0</v>
      </c>
      <c r="J408" s="28">
        <f>F408 * G408 * 0</f>
        <v>0</v>
      </c>
      <c r="K408" s="28">
        <f>F408 * G408 * 21.280018</f>
        <v>21.280017999999998</v>
      </c>
      <c r="L408" s="28">
        <f>F408 * G408 * 4.581463</f>
        <v>4.5814630000000003</v>
      </c>
      <c r="M408" s="28">
        <f>F408 * G408 * 4.470592</f>
        <v>4.4705919999999999</v>
      </c>
      <c r="N408" s="29">
        <f>SUM(H408:M408)</f>
        <v>52.68503299999999</v>
      </c>
      <c r="O408" s="30">
        <f t="shared" ref="O408:O410" si="174">N408*1.07*1.09*1.05</f>
        <v>64.518881687294993</v>
      </c>
      <c r="P408" s="31">
        <f t="shared" ref="P408:P410" si="175">IF($P$9&gt;0,O408/$P$9/12,0)</f>
        <v>4.4081113994763052E-4</v>
      </c>
    </row>
    <row r="409" spans="2:16" ht="30" x14ac:dyDescent="0.25">
      <c r="B409" s="23">
        <v>46</v>
      </c>
      <c r="C409" s="24" t="s">
        <v>878</v>
      </c>
      <c r="D409" s="25" t="s">
        <v>879</v>
      </c>
      <c r="E409" s="25" t="s">
        <v>877</v>
      </c>
      <c r="F409" s="26">
        <v>1</v>
      </c>
      <c r="G409" s="27">
        <v>12</v>
      </c>
      <c r="H409" s="28">
        <f>F409 * G409 * 19.84308</f>
        <v>238.11696000000001</v>
      </c>
      <c r="I409" s="28">
        <f>F409 * G409 * 0</f>
        <v>0</v>
      </c>
      <c r="J409" s="28">
        <f>F409 * G409 * 0</f>
        <v>0</v>
      </c>
      <c r="K409" s="28">
        <f>F409 * G409 * 18.890612</f>
        <v>226.687344</v>
      </c>
      <c r="L409" s="28">
        <f>F409 * G409 * 4.067037</f>
        <v>48.804444000000004</v>
      </c>
      <c r="M409" s="28">
        <f>F409 * G409 * 3.968616</f>
        <v>47.623391999999996</v>
      </c>
      <c r="N409" s="29">
        <f>SUM(H409:M409)</f>
        <v>561.23213999999996</v>
      </c>
      <c r="O409" s="30">
        <f t="shared" si="174"/>
        <v>687.29329712610013</v>
      </c>
      <c r="P409" s="31">
        <f t="shared" si="175"/>
        <v>4.6957810467471517E-3</v>
      </c>
    </row>
    <row r="410" spans="2:16" ht="45" x14ac:dyDescent="0.25">
      <c r="B410" s="23">
        <v>47</v>
      </c>
      <c r="C410" s="24" t="s">
        <v>880</v>
      </c>
      <c r="D410" s="25" t="s">
        <v>881</v>
      </c>
      <c r="E410" s="25" t="s">
        <v>877</v>
      </c>
      <c r="F410" s="26">
        <v>1</v>
      </c>
      <c r="G410" s="27">
        <v>1</v>
      </c>
      <c r="H410" s="28">
        <f>F410 * G410 * 59.52924</f>
        <v>59.529240000000001</v>
      </c>
      <c r="I410" s="28">
        <f>F410 * G410 * 0</f>
        <v>0</v>
      </c>
      <c r="J410" s="28">
        <f>F410 * G410 * 0</f>
        <v>0</v>
      </c>
      <c r="K410" s="28">
        <f>F410 * G410 * 56.671836</f>
        <v>56.671835999999999</v>
      </c>
      <c r="L410" s="28">
        <f>F410 * G410 * 12.201113</f>
        <v>12.201112999999999</v>
      </c>
      <c r="M410" s="28">
        <f>F410 * G410 * 11.905848</f>
        <v>11.905848000000001</v>
      </c>
      <c r="N410" s="29">
        <f>SUM(H410:M410)</f>
        <v>140.30803699999998</v>
      </c>
      <c r="O410" s="30">
        <f t="shared" si="174"/>
        <v>171.82332673075501</v>
      </c>
      <c r="P410" s="31">
        <f t="shared" si="175"/>
        <v>1.1739452784206158E-3</v>
      </c>
    </row>
    <row r="411" spans="2:16" x14ac:dyDescent="0.25">
      <c r="B411" s="33"/>
      <c r="C411" s="34" t="s">
        <v>882</v>
      </c>
      <c r="D411" s="98" t="s">
        <v>883</v>
      </c>
      <c r="E411" s="98"/>
      <c r="F411" s="98"/>
      <c r="G411" s="98"/>
      <c r="H411" s="98"/>
      <c r="I411" s="98"/>
      <c r="J411" s="98"/>
      <c r="K411" s="98"/>
      <c r="L411" s="98"/>
      <c r="M411" s="98"/>
      <c r="N411" s="98"/>
      <c r="O411" s="98"/>
      <c r="P411" s="98"/>
    </row>
    <row r="412" spans="2:16" ht="45" x14ac:dyDescent="0.25">
      <c r="B412" s="23">
        <v>48</v>
      </c>
      <c r="C412" s="24" t="s">
        <v>884</v>
      </c>
      <c r="D412" s="25" t="s">
        <v>885</v>
      </c>
      <c r="E412" s="25" t="s">
        <v>877</v>
      </c>
      <c r="F412" s="26">
        <v>1</v>
      </c>
      <c r="G412" s="27">
        <v>1</v>
      </c>
      <c r="H412" s="28">
        <f>F412 * G412 * 35.764736</f>
        <v>35.764735999999999</v>
      </c>
      <c r="I412" s="28">
        <f>F412 * G412 * 0</f>
        <v>0</v>
      </c>
      <c r="J412" s="28">
        <f>F412 * G412 * 0</f>
        <v>0</v>
      </c>
      <c r="K412" s="28">
        <f>F412 * G412 * 34.048028</f>
        <v>34.048028000000002</v>
      </c>
      <c r="L412" s="28">
        <f>F412 * G412 * 7.33034</f>
        <v>7.3303399999999996</v>
      </c>
      <c r="M412" s="28">
        <f>F412 * G412 * 7.152947</f>
        <v>7.1529470000000002</v>
      </c>
      <c r="N412" s="29">
        <f>SUM(H412:M412)</f>
        <v>84.296050999999991</v>
      </c>
      <c r="O412" s="30">
        <f t="shared" ref="O412:O415" si="176">N412*1.07*1.09*1.05</f>
        <v>103.23020849536502</v>
      </c>
      <c r="P412" s="31">
        <f t="shared" ref="P412:P415" si="177">IF($P$9&gt;0,O412/$P$9/12,0)</f>
        <v>7.0529780885576385E-4</v>
      </c>
    </row>
    <row r="413" spans="2:16" ht="30" x14ac:dyDescent="0.25">
      <c r="B413" s="23">
        <v>49</v>
      </c>
      <c r="C413" s="24" t="s">
        <v>886</v>
      </c>
      <c r="D413" s="25" t="s">
        <v>887</v>
      </c>
      <c r="E413" s="25" t="s">
        <v>877</v>
      </c>
      <c r="F413" s="26">
        <v>1</v>
      </c>
      <c r="G413" s="27">
        <v>12</v>
      </c>
      <c r="H413" s="28">
        <f>F413 * G413 * 19.84308</f>
        <v>238.11696000000001</v>
      </c>
      <c r="I413" s="28">
        <f>F413 * G413 * 0</f>
        <v>0</v>
      </c>
      <c r="J413" s="28">
        <f>F413 * G413 * 0</f>
        <v>0</v>
      </c>
      <c r="K413" s="28">
        <f>F413 * G413 * 18.890612</f>
        <v>226.687344</v>
      </c>
      <c r="L413" s="28">
        <f>F413 * G413 * 4.067037</f>
        <v>48.804444000000004</v>
      </c>
      <c r="M413" s="28">
        <f>F413 * G413 * 3.968616</f>
        <v>47.623391999999996</v>
      </c>
      <c r="N413" s="29">
        <f>SUM(H413:M413)</f>
        <v>561.23213999999996</v>
      </c>
      <c r="O413" s="30">
        <f t="shared" si="176"/>
        <v>687.29329712610013</v>
      </c>
      <c r="P413" s="31">
        <f t="shared" si="177"/>
        <v>4.6957810467471517E-3</v>
      </c>
    </row>
    <row r="414" spans="2:16" ht="45" x14ac:dyDescent="0.25">
      <c r="B414" s="23">
        <v>50</v>
      </c>
      <c r="C414" s="24" t="s">
        <v>888</v>
      </c>
      <c r="D414" s="25" t="s">
        <v>889</v>
      </c>
      <c r="E414" s="25" t="s">
        <v>234</v>
      </c>
      <c r="F414" s="26">
        <v>1</v>
      </c>
      <c r="G414" s="27">
        <v>1</v>
      </c>
      <c r="H414" s="28">
        <f>F414 * G414 * 59.52924</f>
        <v>59.529240000000001</v>
      </c>
      <c r="I414" s="28">
        <f>F414 * G414 * 0</f>
        <v>0</v>
      </c>
      <c r="J414" s="28">
        <f>F414 * G414 * 0</f>
        <v>0</v>
      </c>
      <c r="K414" s="28">
        <f>F414 * G414 * 56.671836</f>
        <v>56.671835999999999</v>
      </c>
      <c r="L414" s="28">
        <f>F414 * G414 * 12.201113</f>
        <v>12.201112999999999</v>
      </c>
      <c r="M414" s="28">
        <f>F414 * G414 * 11.905848</f>
        <v>11.905848000000001</v>
      </c>
      <c r="N414" s="29">
        <f>SUM(H414:M414)</f>
        <v>140.30803699999998</v>
      </c>
      <c r="O414" s="30">
        <f t="shared" si="176"/>
        <v>171.82332673075501</v>
      </c>
      <c r="P414" s="31">
        <f t="shared" si="177"/>
        <v>1.1739452784206158E-3</v>
      </c>
    </row>
    <row r="415" spans="2:16" ht="45" x14ac:dyDescent="0.25">
      <c r="B415" s="23">
        <v>51</v>
      </c>
      <c r="C415" s="24" t="s">
        <v>890</v>
      </c>
      <c r="D415" s="25" t="s">
        <v>891</v>
      </c>
      <c r="E415" s="25" t="s">
        <v>234</v>
      </c>
      <c r="F415" s="26">
        <v>1</v>
      </c>
      <c r="G415" s="27">
        <v>1</v>
      </c>
      <c r="H415" s="28">
        <f>F415 * G415 * 192.235456</f>
        <v>192.235456</v>
      </c>
      <c r="I415" s="28">
        <f>F415 * G415 * 0</f>
        <v>0</v>
      </c>
      <c r="J415" s="28">
        <f>F415 * G415 * 0</f>
        <v>0</v>
      </c>
      <c r="K415" s="28">
        <f>F415 * G415 * 183.008154</f>
        <v>183.00815399999999</v>
      </c>
      <c r="L415" s="28">
        <f>F415 * G415 * 39.400579</f>
        <v>39.400579</v>
      </c>
      <c r="M415" s="28">
        <f>F415 * G415 * 38.447091</f>
        <v>38.447091</v>
      </c>
      <c r="N415" s="29">
        <f>SUM(H415:M415)</f>
        <v>453.09127999999998</v>
      </c>
      <c r="O415" s="30">
        <f t="shared" si="176"/>
        <v>554.86237785720004</v>
      </c>
      <c r="P415" s="31">
        <f t="shared" si="177"/>
        <v>3.7909757717553504E-3</v>
      </c>
    </row>
    <row r="416" spans="2:16" ht="14.25" customHeight="1" x14ac:dyDescent="0.25">
      <c r="B416" s="97" t="s">
        <v>30</v>
      </c>
      <c r="C416" s="97"/>
      <c r="D416" s="97"/>
      <c r="E416" s="97"/>
      <c r="F416" s="97"/>
      <c r="G416" s="97"/>
      <c r="H416" s="36">
        <f t="shared" ref="H416:P416" si="178">SUM(H336:H415)</f>
        <v>212104.22294113203</v>
      </c>
      <c r="I416" s="36">
        <f t="shared" si="178"/>
        <v>180306.54012059499</v>
      </c>
      <c r="J416" s="36">
        <f t="shared" si="178"/>
        <v>135.3865275</v>
      </c>
      <c r="K416" s="36">
        <f t="shared" si="178"/>
        <v>201923.22023979964</v>
      </c>
      <c r="L416" s="36">
        <f t="shared" si="178"/>
        <v>62419.283801145997</v>
      </c>
      <c r="M416" s="36">
        <f t="shared" si="178"/>
        <v>42420.844610625005</v>
      </c>
      <c r="N416" s="36">
        <f t="shared" si="178"/>
        <v>699309.49824079813</v>
      </c>
      <c r="O416" s="38">
        <f>SUM(O412:O415,O408:O410,O404:O405,O396:O402,O394,O388:O390,O385:O386,O382,O380,O378,O374:O376,O370:O372,O368,O365:O366,O363,O361,O357:O358,O354:O355,O350:O352,O345:O347,O339:O343)</f>
        <v>856384.90118815482</v>
      </c>
      <c r="P416" s="37">
        <f t="shared" si="178"/>
        <v>5.8510624278385039</v>
      </c>
    </row>
    <row r="417" spans="2:16" x14ac:dyDescent="0.25">
      <c r="B417" s="92" t="s">
        <v>1035</v>
      </c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3"/>
      <c r="N417" s="93"/>
      <c r="O417" s="16"/>
      <c r="P417" s="17"/>
    </row>
    <row r="418" spans="2:16" x14ac:dyDescent="0.25">
      <c r="B418" s="92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4"/>
      <c r="N418" s="94"/>
      <c r="O418" s="18"/>
      <c r="P418" s="19"/>
    </row>
    <row r="419" spans="2:16" ht="13.5" customHeight="1" x14ac:dyDescent="0.25">
      <c r="B419" s="21"/>
      <c r="C419" s="22" t="s">
        <v>378</v>
      </c>
      <c r="D419" s="95" t="s">
        <v>379</v>
      </c>
      <c r="E419" s="95"/>
      <c r="F419" s="95"/>
      <c r="G419" s="95"/>
      <c r="H419" s="95"/>
      <c r="I419" s="95"/>
      <c r="J419" s="95"/>
      <c r="K419" s="95"/>
      <c r="L419" s="95"/>
      <c r="M419" s="95"/>
      <c r="N419" s="95"/>
      <c r="O419" s="95"/>
      <c r="P419" s="95"/>
    </row>
    <row r="420" spans="2:16" x14ac:dyDescent="0.25">
      <c r="B420" s="33"/>
      <c r="C420" s="34" t="s">
        <v>892</v>
      </c>
      <c r="D420" s="96" t="s">
        <v>893</v>
      </c>
      <c r="E420" s="96"/>
      <c r="F420" s="96"/>
      <c r="G420" s="96"/>
      <c r="H420" s="96"/>
      <c r="I420" s="96"/>
      <c r="J420" s="96"/>
      <c r="K420" s="96"/>
      <c r="L420" s="96"/>
      <c r="M420" s="96"/>
      <c r="N420" s="96"/>
      <c r="O420" s="96"/>
      <c r="P420" s="96"/>
    </row>
    <row r="421" spans="2:16" ht="45" x14ac:dyDescent="0.25">
      <c r="B421" s="23">
        <v>1</v>
      </c>
      <c r="C421" s="24" t="s">
        <v>894</v>
      </c>
      <c r="D421" s="25" t="s">
        <v>895</v>
      </c>
      <c r="E421" s="25" t="s">
        <v>896</v>
      </c>
      <c r="F421" s="26">
        <v>1.58</v>
      </c>
      <c r="G421" s="27">
        <v>1</v>
      </c>
      <c r="H421" s="28">
        <f>F421 * G421 * 3968.616</f>
        <v>6270.4132800000007</v>
      </c>
      <c r="I421" s="28">
        <f>F421 * G421 * 12475.183447</f>
        <v>19710.789846259999</v>
      </c>
      <c r="J421" s="28">
        <f>F421 * G421 * 0</f>
        <v>0</v>
      </c>
      <c r="K421" s="28">
        <f>F421 * G421 * 3778.122432</f>
        <v>5969.43344256</v>
      </c>
      <c r="L421" s="28">
        <f>F421 * G421 * 2123.301797</f>
        <v>3354.8168392600001</v>
      </c>
      <c r="M421" s="28">
        <f>F421 * G421 * 793.7232</f>
        <v>1254.082656</v>
      </c>
      <c r="N421" s="29">
        <f>SUM(H421:M421)</f>
        <v>36559.536064079999</v>
      </c>
      <c r="O421" s="30">
        <f t="shared" ref="O421:O423" si="179">N421*1.07*1.09*1.05</f>
        <v>44771.356257113337</v>
      </c>
      <c r="P421" s="31">
        <f t="shared" ref="P421:P423" si="180">IF($P$9&gt;0,O421/$P$9/12,0)</f>
        <v>0.30589049395420553</v>
      </c>
    </row>
    <row r="422" spans="2:16" x14ac:dyDescent="0.25">
      <c r="B422" s="23">
        <v>2</v>
      </c>
      <c r="C422" s="24" t="s">
        <v>897</v>
      </c>
      <c r="D422" s="25" t="s">
        <v>898</v>
      </c>
      <c r="E422" s="25" t="s">
        <v>147</v>
      </c>
      <c r="F422" s="26">
        <v>0.14000000000000001</v>
      </c>
      <c r="G422" s="27">
        <v>1</v>
      </c>
      <c r="H422" s="28">
        <f>F422 * G422 * 7103.33712</f>
        <v>994.46719680000012</v>
      </c>
      <c r="I422" s="28">
        <f>F422 * G422 * 3906.264</f>
        <v>546.87696000000005</v>
      </c>
      <c r="J422" s="28">
        <f>F422 * G422 * 0</f>
        <v>0</v>
      </c>
      <c r="K422" s="28">
        <f>F422 * G422 * 6762.37693799999</f>
        <v>946.73277131999873</v>
      </c>
      <c r="L422" s="28">
        <f>F422 * G422 * 1866.05769599999</f>
        <v>261.24807743999861</v>
      </c>
      <c r="M422" s="28">
        <f>F422 * G422 * 1420.667424</f>
        <v>198.89343936000003</v>
      </c>
      <c r="N422" s="29">
        <f>SUM(H422:M422)</f>
        <v>2948.2184449199981</v>
      </c>
      <c r="O422" s="30">
        <f t="shared" si="179"/>
        <v>3610.4325309257042</v>
      </c>
      <c r="P422" s="31">
        <f t="shared" si="180"/>
        <v>2.4667490167839798E-2</v>
      </c>
    </row>
    <row r="423" spans="2:16" ht="45" x14ac:dyDescent="0.25">
      <c r="B423" s="23">
        <v>3</v>
      </c>
      <c r="C423" s="24" t="s">
        <v>899</v>
      </c>
      <c r="D423" s="25" t="s">
        <v>900</v>
      </c>
      <c r="E423" s="25" t="s">
        <v>901</v>
      </c>
      <c r="F423" s="26">
        <v>1.58</v>
      </c>
      <c r="G423" s="27">
        <v>1</v>
      </c>
      <c r="H423" s="28">
        <f>F423 * G423 * 4960.77</f>
        <v>7838.0166000000008</v>
      </c>
      <c r="I423" s="28">
        <f>F423 * G423 * 19797.699358</f>
        <v>31280.364985640004</v>
      </c>
      <c r="J423" s="28">
        <f>F423 * G423 * 0</f>
        <v>0</v>
      </c>
      <c r="K423" s="28">
        <f>F423 * G423 * 4722.65304</f>
        <v>7461.7918032000007</v>
      </c>
      <c r="L423" s="28">
        <f>F423 * G423 * 3095.517852</f>
        <v>4890.9182061600004</v>
      </c>
      <c r="M423" s="28">
        <f>F423 * G423 * 992.154</f>
        <v>1567.6033200000002</v>
      </c>
      <c r="N423" s="29">
        <f>SUM(H423:M423)</f>
        <v>53038.694915000007</v>
      </c>
      <c r="O423" s="30">
        <f t="shared" si="179"/>
        <v>64951.981373332746</v>
      </c>
      <c r="P423" s="31">
        <f t="shared" si="180"/>
        <v>0.44377019877382923</v>
      </c>
    </row>
    <row r="424" spans="2:16" ht="12.75" customHeight="1" x14ac:dyDescent="0.25">
      <c r="B424" s="21"/>
      <c r="C424" s="22" t="s">
        <v>902</v>
      </c>
      <c r="D424" s="95" t="s">
        <v>903</v>
      </c>
      <c r="E424" s="95"/>
      <c r="F424" s="95"/>
      <c r="G424" s="95"/>
      <c r="H424" s="95"/>
      <c r="I424" s="95"/>
      <c r="J424" s="95"/>
      <c r="K424" s="95"/>
      <c r="L424" s="95"/>
      <c r="M424" s="95"/>
      <c r="N424" s="95"/>
      <c r="O424" s="95"/>
      <c r="P424" s="95"/>
    </row>
    <row r="425" spans="2:16" x14ac:dyDescent="0.25">
      <c r="B425" s="33"/>
      <c r="C425" s="34" t="s">
        <v>904</v>
      </c>
      <c r="D425" s="96" t="s">
        <v>905</v>
      </c>
      <c r="E425" s="96"/>
      <c r="F425" s="96"/>
      <c r="G425" s="96"/>
      <c r="H425" s="96"/>
      <c r="I425" s="96"/>
      <c r="J425" s="96"/>
      <c r="K425" s="96"/>
      <c r="L425" s="96"/>
      <c r="M425" s="96"/>
      <c r="N425" s="96"/>
      <c r="O425" s="96"/>
      <c r="P425" s="96"/>
    </row>
    <row r="426" spans="2:16" ht="30" x14ac:dyDescent="0.25">
      <c r="B426" s="23">
        <v>4</v>
      </c>
      <c r="C426" s="24" t="s">
        <v>906</v>
      </c>
      <c r="D426" s="25" t="s">
        <v>907</v>
      </c>
      <c r="E426" s="25" t="s">
        <v>908</v>
      </c>
      <c r="F426" s="26">
        <v>2</v>
      </c>
      <c r="G426" s="27">
        <v>1</v>
      </c>
      <c r="H426" s="28">
        <f>F426 * G426 * 87.309552</f>
        <v>174.61910399999999</v>
      </c>
      <c r="I426" s="28">
        <f>F426 * G426 * 175.27992</f>
        <v>350.55984000000001</v>
      </c>
      <c r="J426" s="28">
        <f>F426 * G426 * 0</f>
        <v>0</v>
      </c>
      <c r="K426" s="28">
        <f>F426 * G426 * 83.118694</f>
        <v>166.23738800000001</v>
      </c>
      <c r="L426" s="28">
        <f>F426 * G426 * 36.299358</f>
        <v>72.598715999999996</v>
      </c>
      <c r="M426" s="28">
        <f>F426 * G426 * 17.46191</f>
        <v>34.923819999999999</v>
      </c>
      <c r="N426" s="29">
        <f>SUM(H426:M426)</f>
        <v>798.93886799999996</v>
      </c>
      <c r="O426" s="30">
        <f t="shared" ref="O426:O430" si="181">N426*1.07*1.09*1.05</f>
        <v>978.39252183582005</v>
      </c>
      <c r="P426" s="31">
        <f t="shared" ref="P426:P430" si="182">IF($P$9&gt;0,O426/$P$9/12,0)</f>
        <v>6.6846527960141844E-3</v>
      </c>
    </row>
    <row r="427" spans="2:16" ht="30" x14ac:dyDescent="0.25">
      <c r="B427" s="23">
        <v>5</v>
      </c>
      <c r="C427" s="24" t="s">
        <v>909</v>
      </c>
      <c r="D427" s="25" t="s">
        <v>910</v>
      </c>
      <c r="E427" s="25" t="s">
        <v>911</v>
      </c>
      <c r="F427" s="26">
        <v>3</v>
      </c>
      <c r="G427" s="27">
        <v>0.5</v>
      </c>
      <c r="H427" s="28">
        <f>F427 * G427 * 236.941376</f>
        <v>355.41206399999999</v>
      </c>
      <c r="I427" s="28">
        <f>F427 * G427 * 1436.27112</f>
        <v>2154.4066800000001</v>
      </c>
      <c r="J427" s="28">
        <f>F427 * G427 * 0</f>
        <v>0</v>
      </c>
      <c r="K427" s="28">
        <f>F427 * G427 * 225.56819</f>
        <v>338.35228499999999</v>
      </c>
      <c r="L427" s="28">
        <f>F427 * G427 * 199.371972</f>
        <v>299.05795799999999</v>
      </c>
      <c r="M427" s="28">
        <f>F427 * G427 * 47.388275</f>
        <v>71.082412500000004</v>
      </c>
      <c r="N427" s="29">
        <f>SUM(H427:M427)</f>
        <v>3218.3113994999999</v>
      </c>
      <c r="O427" s="30">
        <f t="shared" si="181"/>
        <v>3941.1924144986933</v>
      </c>
      <c r="P427" s="31">
        <f t="shared" si="182"/>
        <v>2.6927334689532217E-2</v>
      </c>
    </row>
    <row r="428" spans="2:16" x14ac:dyDescent="0.25">
      <c r="B428" s="23">
        <v>6</v>
      </c>
      <c r="C428" s="24" t="s">
        <v>912</v>
      </c>
      <c r="D428" s="25" t="s">
        <v>913</v>
      </c>
      <c r="E428" s="25" t="s">
        <v>914</v>
      </c>
      <c r="F428" s="26">
        <v>2</v>
      </c>
      <c r="G428" s="27">
        <v>0.5</v>
      </c>
      <c r="H428" s="28">
        <f>F428 * G428 * 87.309552</f>
        <v>87.309551999999996</v>
      </c>
      <c r="I428" s="28">
        <f>F428 * G428 * 130.29528</f>
        <v>130.29527999999999</v>
      </c>
      <c r="J428" s="28">
        <f>F428 * G428 * 0</f>
        <v>0</v>
      </c>
      <c r="K428" s="28">
        <f>F428 * G428 * 83.118694</f>
        <v>83.118694000000005</v>
      </c>
      <c r="L428" s="28">
        <f>F428 * G428 * 31.575971</f>
        <v>31.575970999999999</v>
      </c>
      <c r="M428" s="28">
        <f>F428 * G428 * 17.46191</f>
        <v>17.46191</v>
      </c>
      <c r="N428" s="29">
        <f>SUM(H428:M428)</f>
        <v>349.76140699999996</v>
      </c>
      <c r="O428" s="30">
        <f t="shared" si="181"/>
        <v>428.32306543330503</v>
      </c>
      <c r="P428" s="31">
        <f t="shared" si="182"/>
        <v>2.9264236112247891E-3</v>
      </c>
    </row>
    <row r="429" spans="2:16" x14ac:dyDescent="0.25">
      <c r="B429" s="23">
        <v>7</v>
      </c>
      <c r="C429" s="24" t="s">
        <v>915</v>
      </c>
      <c r="D429" s="25" t="s">
        <v>916</v>
      </c>
      <c r="E429" s="25" t="s">
        <v>917</v>
      </c>
      <c r="F429" s="26">
        <v>4</v>
      </c>
      <c r="G429" s="27">
        <v>1</v>
      </c>
      <c r="H429" s="28">
        <f>F429 * G429 * 138.90156</f>
        <v>555.60623999999996</v>
      </c>
      <c r="I429" s="28">
        <f>F429 * G429 * 44.819081</f>
        <v>179.27632399999999</v>
      </c>
      <c r="J429" s="28">
        <f>F429 * G429 * 0</f>
        <v>0</v>
      </c>
      <c r="K429" s="28">
        <f>F429 * G429 * 132.234285</f>
        <v>528.93714</v>
      </c>
      <c r="L429" s="28">
        <f>F429 * G429 * 33.175268</f>
        <v>132.70107200000001</v>
      </c>
      <c r="M429" s="28">
        <f>F429 * G429 * 27.780312</f>
        <v>111.12124799999999</v>
      </c>
      <c r="N429" s="29">
        <f>SUM(H429:M429)</f>
        <v>1507.642024</v>
      </c>
      <c r="O429" s="30">
        <f t="shared" si="181"/>
        <v>1846.2810372207605</v>
      </c>
      <c r="P429" s="31">
        <f t="shared" si="182"/>
        <v>1.2614311150424698E-2</v>
      </c>
    </row>
    <row r="430" spans="2:16" x14ac:dyDescent="0.25">
      <c r="B430" s="23">
        <v>8</v>
      </c>
      <c r="C430" s="24" t="s">
        <v>918</v>
      </c>
      <c r="D430" s="25" t="s">
        <v>919</v>
      </c>
      <c r="E430" s="25" t="s">
        <v>920</v>
      </c>
      <c r="F430" s="26">
        <v>2</v>
      </c>
      <c r="G430" s="27">
        <v>0.3</v>
      </c>
      <c r="H430" s="28">
        <f>F430 * G430 * 679.529984</f>
        <v>407.71799040000002</v>
      </c>
      <c r="I430" s="28">
        <f>F430 * G430 * 30091.368428</f>
        <v>18054.821056799999</v>
      </c>
      <c r="J430" s="28">
        <f>F430 * G430 * 0</f>
        <v>0</v>
      </c>
      <c r="K430" s="28">
        <f>F430 * G430 * 646.912544999999</f>
        <v>388.1475269999994</v>
      </c>
      <c r="L430" s="28">
        <f>F430 * G430 * 3298.870151</f>
        <v>1979.3220905999999</v>
      </c>
      <c r="M430" s="28">
        <f>F430 * G430 * 135.905997</f>
        <v>81.543598200000005</v>
      </c>
      <c r="N430" s="29">
        <f>SUM(H430:M430)</f>
        <v>20911.552263000001</v>
      </c>
      <c r="O430" s="30">
        <f t="shared" si="181"/>
        <v>25608.600574553751</v>
      </c>
      <c r="P430" s="31">
        <f t="shared" si="182"/>
        <v>0.1749651592915864</v>
      </c>
    </row>
    <row r="431" spans="2:16" x14ac:dyDescent="0.25">
      <c r="B431" s="33"/>
      <c r="C431" s="34" t="s">
        <v>921</v>
      </c>
      <c r="D431" s="96" t="s">
        <v>922</v>
      </c>
      <c r="E431" s="96"/>
      <c r="F431" s="96"/>
      <c r="G431" s="96"/>
      <c r="H431" s="96"/>
      <c r="I431" s="96"/>
      <c r="J431" s="96"/>
      <c r="K431" s="96"/>
      <c r="L431" s="96"/>
      <c r="M431" s="96"/>
      <c r="N431" s="96"/>
      <c r="O431" s="96"/>
      <c r="P431" s="96"/>
    </row>
    <row r="432" spans="2:16" x14ac:dyDescent="0.25">
      <c r="B432" s="23">
        <v>9</v>
      </c>
      <c r="C432" s="24" t="s">
        <v>923</v>
      </c>
      <c r="D432" s="25" t="s">
        <v>924</v>
      </c>
      <c r="E432" s="25" t="s">
        <v>925</v>
      </c>
      <c r="F432" s="26">
        <v>5</v>
      </c>
      <c r="G432" s="27">
        <v>1</v>
      </c>
      <c r="H432" s="28">
        <f>F432 * G432 * 236.941376</f>
        <v>1184.70688</v>
      </c>
      <c r="I432" s="28">
        <f>F432 * G432 * 1436.27112</f>
        <v>7181.3556000000008</v>
      </c>
      <c r="J432" s="28">
        <f>F432 * G432 * 0</f>
        <v>0</v>
      </c>
      <c r="K432" s="28">
        <f>F432 * G432 * 225.56819</f>
        <v>1127.84095</v>
      </c>
      <c r="L432" s="28">
        <f>F432 * G432 * 199.371972</f>
        <v>996.85986000000003</v>
      </c>
      <c r="M432" s="28">
        <f>F432 * G432 * 47.388275</f>
        <v>236.94137499999999</v>
      </c>
      <c r="N432" s="29">
        <f>SUM(H432:M432)</f>
        <v>10727.704665000001</v>
      </c>
      <c r="O432" s="30">
        <f t="shared" ref="O432" si="183">N432*1.07*1.09*1.05</f>
        <v>13137.308048328978</v>
      </c>
      <c r="P432" s="31">
        <f>IF($P$9&gt;0,O432/$P$9/12,0)</f>
        <v>8.9757782298440725E-2</v>
      </c>
    </row>
    <row r="433" spans="2:16" x14ac:dyDescent="0.25">
      <c r="B433" s="33"/>
      <c r="C433" s="34" t="s">
        <v>926</v>
      </c>
      <c r="D433" s="96" t="s">
        <v>927</v>
      </c>
      <c r="E433" s="96"/>
      <c r="F433" s="96"/>
      <c r="G433" s="96"/>
      <c r="H433" s="96"/>
      <c r="I433" s="96"/>
      <c r="J433" s="96"/>
      <c r="K433" s="96"/>
      <c r="L433" s="96"/>
      <c r="M433" s="96"/>
      <c r="N433" s="96"/>
      <c r="O433" s="96"/>
      <c r="P433" s="96"/>
    </row>
    <row r="434" spans="2:16" x14ac:dyDescent="0.25">
      <c r="B434" s="23">
        <v>10</v>
      </c>
      <c r="C434" s="24" t="s">
        <v>928</v>
      </c>
      <c r="D434" s="25" t="s">
        <v>929</v>
      </c>
      <c r="E434" s="25" t="s">
        <v>930</v>
      </c>
      <c r="F434" s="26">
        <v>10</v>
      </c>
      <c r="G434" s="27">
        <v>1</v>
      </c>
      <c r="H434" s="28">
        <f>F434 * G434 * 270.470816</f>
        <v>2704.7081600000001</v>
      </c>
      <c r="I434" s="28">
        <f>F434 * G434 * 23.805228</f>
        <v>238.05228</v>
      </c>
      <c r="J434" s="28">
        <f>F434 * G434 * 0</f>
        <v>0</v>
      </c>
      <c r="K434" s="28">
        <f>F434 * G434 * 257.488215999999</f>
        <v>2574.8821599999901</v>
      </c>
      <c r="L434" s="28">
        <f>F434 * G434 * 57.935247</f>
        <v>579.35246999999993</v>
      </c>
      <c r="M434" s="28">
        <f>F434 * G434 * 54.094163</f>
        <v>540.94163000000003</v>
      </c>
      <c r="N434" s="29">
        <f>SUM(H434:M434)</f>
        <v>6637.9366999999902</v>
      </c>
      <c r="O434" s="30">
        <f t="shared" ref="O434" si="184">N434*1.07*1.09*1.05</f>
        <v>8128.9168518704892</v>
      </c>
      <c r="P434" s="31">
        <f>IF($P$9&gt;0,O434/$P$9/12,0)</f>
        <v>5.5539045474778559E-2</v>
      </c>
    </row>
    <row r="435" spans="2:16" x14ac:dyDescent="0.25">
      <c r="B435" s="33"/>
      <c r="C435" s="34" t="s">
        <v>931</v>
      </c>
      <c r="D435" s="96" t="s">
        <v>932</v>
      </c>
      <c r="E435" s="96"/>
      <c r="F435" s="96"/>
      <c r="G435" s="96"/>
      <c r="H435" s="96"/>
      <c r="I435" s="96"/>
      <c r="J435" s="96"/>
      <c r="K435" s="96"/>
      <c r="L435" s="96"/>
      <c r="M435" s="96"/>
      <c r="N435" s="96"/>
      <c r="O435" s="96"/>
      <c r="P435" s="96"/>
    </row>
    <row r="436" spans="2:16" ht="45" x14ac:dyDescent="0.25">
      <c r="B436" s="23">
        <v>11</v>
      </c>
      <c r="C436" s="24" t="s">
        <v>933</v>
      </c>
      <c r="D436" s="25" t="s">
        <v>934</v>
      </c>
      <c r="E436" s="25" t="s">
        <v>935</v>
      </c>
      <c r="F436" s="26"/>
      <c r="G436" s="27">
        <v>1</v>
      </c>
      <c r="H436" s="28">
        <f>F436 * G436 * 117.074172</f>
        <v>0</v>
      </c>
      <c r="I436" s="28">
        <f>F436 * G436 * 7414.70496</f>
        <v>0</v>
      </c>
      <c r="J436" s="28">
        <f>F436 * G436 * 0</f>
        <v>0</v>
      </c>
      <c r="K436" s="28">
        <f>F436 * G436 * 111.454612</f>
        <v>0</v>
      </c>
      <c r="L436" s="28">
        <f>F436 * G436 * 802.539543</f>
        <v>0</v>
      </c>
      <c r="M436" s="28">
        <f>F436 * G436 * 23.414834</f>
        <v>0</v>
      </c>
      <c r="N436" s="29">
        <f>SUM(H436:M436)</f>
        <v>0</v>
      </c>
      <c r="O436" s="30">
        <f t="shared" ref="O436:O437" si="185">N436*1.07*1.09*1.05</f>
        <v>0</v>
      </c>
      <c r="P436" s="31">
        <f t="shared" ref="P436:P437" si="186">IF($P$9&gt;0,O436/$P$9/12,0)</f>
        <v>0</v>
      </c>
    </row>
    <row r="437" spans="2:16" ht="30" x14ac:dyDescent="0.25">
      <c r="B437" s="23">
        <v>12</v>
      </c>
      <c r="C437" s="24" t="s">
        <v>936</v>
      </c>
      <c r="D437" s="25" t="s">
        <v>937</v>
      </c>
      <c r="E437" s="25" t="s">
        <v>938</v>
      </c>
      <c r="F437" s="26">
        <v>0.06</v>
      </c>
      <c r="G437" s="27">
        <v>1</v>
      </c>
      <c r="H437" s="28">
        <f>F437 * G437 * 2381.1696</f>
        <v>142.87017600000001</v>
      </c>
      <c r="I437" s="28">
        <f>F437 * G437 * 0</f>
        <v>0</v>
      </c>
      <c r="J437" s="28">
        <f>F437 * G437 * 0</f>
        <v>0</v>
      </c>
      <c r="K437" s="28">
        <f>F437 * G437 * 2266.873459</f>
        <v>136.01240754</v>
      </c>
      <c r="L437" s="28">
        <f>F437 * G437 * 488.044521</f>
        <v>29.282671259999997</v>
      </c>
      <c r="M437" s="28">
        <f>F437 * G437 * 476.23392</f>
        <v>28.574035200000001</v>
      </c>
      <c r="N437" s="29">
        <f>SUM(H437:M437)</f>
        <v>336.73929000000004</v>
      </c>
      <c r="O437" s="30">
        <f t="shared" si="185"/>
        <v>412.37598562335012</v>
      </c>
      <c r="P437" s="31">
        <f t="shared" si="186"/>
        <v>2.8174686782497754E-3</v>
      </c>
    </row>
    <row r="438" spans="2:16" x14ac:dyDescent="0.25">
      <c r="B438" s="33"/>
      <c r="C438" s="34" t="s">
        <v>939</v>
      </c>
      <c r="D438" s="96" t="s">
        <v>940</v>
      </c>
      <c r="E438" s="96"/>
      <c r="F438" s="96"/>
      <c r="G438" s="96"/>
      <c r="H438" s="96"/>
      <c r="I438" s="96"/>
      <c r="J438" s="96"/>
      <c r="K438" s="96"/>
      <c r="L438" s="96"/>
      <c r="M438" s="96"/>
      <c r="N438" s="96"/>
      <c r="O438" s="96"/>
      <c r="P438" s="96"/>
    </row>
    <row r="439" spans="2:16" x14ac:dyDescent="0.25">
      <c r="B439" s="23">
        <v>13</v>
      </c>
      <c r="C439" s="24" t="s">
        <v>941</v>
      </c>
      <c r="D439" s="25" t="s">
        <v>942</v>
      </c>
      <c r="E439" s="25" t="s">
        <v>943</v>
      </c>
      <c r="F439" s="26">
        <v>7</v>
      </c>
      <c r="G439" s="27">
        <v>1</v>
      </c>
      <c r="H439" s="28">
        <f>F439 * G439 * 37.701852</f>
        <v>263.91296399999999</v>
      </c>
      <c r="I439" s="28">
        <f>F439 * G439 * 38.43096</f>
        <v>269.01671999999996</v>
      </c>
      <c r="J439" s="28">
        <f t="shared" ref="J439:J445" si="187">F439 * G439 * 0</f>
        <v>0</v>
      </c>
      <c r="K439" s="28">
        <f>F439 * G439 * 35.892163</f>
        <v>251.24514099999999</v>
      </c>
      <c r="L439" s="28">
        <f>F439 * G439 * 11.762623</f>
        <v>82.338360999999992</v>
      </c>
      <c r="M439" s="28">
        <f>F439 * G439 * 7.54037</f>
        <v>52.782589999999999</v>
      </c>
      <c r="N439" s="29">
        <f t="shared" ref="N439:N445" si="188">SUM(H439:M439)</f>
        <v>919.29577599999993</v>
      </c>
      <c r="O439" s="30">
        <f t="shared" ref="O439:O445" si="189">N439*1.07*1.09*1.05</f>
        <v>1125.78339672624</v>
      </c>
      <c r="P439" s="31">
        <f t="shared" ref="P439:P445" si="190">IF($P$9&gt;0,O439/$P$9/12,0)</f>
        <v>7.6916686939837659E-3</v>
      </c>
    </row>
    <row r="440" spans="2:16" ht="30" x14ac:dyDescent="0.25">
      <c r="B440" s="23">
        <v>14</v>
      </c>
      <c r="C440" s="24" t="s">
        <v>944</v>
      </c>
      <c r="D440" s="25" t="s">
        <v>945</v>
      </c>
      <c r="E440" s="25" t="s">
        <v>946</v>
      </c>
      <c r="F440" s="26">
        <v>3</v>
      </c>
      <c r="G440" s="27">
        <v>1</v>
      </c>
      <c r="H440" s="28">
        <f>F440 * G440 * 199.164874</f>
        <v>597.49462199999994</v>
      </c>
      <c r="I440" s="28">
        <f>F440 * G440 * 415.416411</f>
        <v>1246.249233</v>
      </c>
      <c r="J440" s="28">
        <f t="shared" si="187"/>
        <v>0</v>
      </c>
      <c r="K440" s="28">
        <f>F440 * G440 * 189.60496</f>
        <v>568.81488000000002</v>
      </c>
      <c r="L440" s="28">
        <f>F440 * G440 * 84.439556</f>
        <v>253.318668</v>
      </c>
      <c r="M440" s="28">
        <f>F440 * G440 * 39.832975</f>
        <v>119.49892499999999</v>
      </c>
      <c r="N440" s="29">
        <f t="shared" si="188"/>
        <v>2785.3763279999998</v>
      </c>
      <c r="O440" s="30">
        <f t="shared" si="189"/>
        <v>3411.0136319137205</v>
      </c>
      <c r="P440" s="31">
        <f t="shared" si="190"/>
        <v>2.3305004180766586E-2</v>
      </c>
    </row>
    <row r="441" spans="2:16" ht="30" x14ac:dyDescent="0.25">
      <c r="B441" s="23">
        <v>15</v>
      </c>
      <c r="C441" s="24" t="s">
        <v>947</v>
      </c>
      <c r="D441" s="25" t="s">
        <v>948</v>
      </c>
      <c r="E441" s="25" t="s">
        <v>946</v>
      </c>
      <c r="F441" s="26">
        <v>2</v>
      </c>
      <c r="G441" s="27">
        <v>1</v>
      </c>
      <c r="H441" s="28">
        <f>F441 * G441 * 31.748928</f>
        <v>63.497855999999999</v>
      </c>
      <c r="I441" s="28">
        <f>F441 * G441 * 39.06264</f>
        <v>78.125280000000004</v>
      </c>
      <c r="J441" s="28">
        <f t="shared" si="187"/>
        <v>0</v>
      </c>
      <c r="K441" s="28">
        <f>F441 * G441 * 30.224979</f>
        <v>60.449958000000002</v>
      </c>
      <c r="L441" s="28">
        <f>F441 * G441 * 10.608838</f>
        <v>21.217676000000001</v>
      </c>
      <c r="M441" s="28">
        <f>F441 * G441 * 6.349786</f>
        <v>12.699572</v>
      </c>
      <c r="N441" s="29">
        <f t="shared" si="188"/>
        <v>235.990342</v>
      </c>
      <c r="O441" s="30">
        <f t="shared" si="189"/>
        <v>288.99731266833004</v>
      </c>
      <c r="P441" s="31">
        <f t="shared" si="190"/>
        <v>1.9745108952223911E-3</v>
      </c>
    </row>
    <row r="442" spans="2:16" ht="30" x14ac:dyDescent="0.25">
      <c r="B442" s="23">
        <v>16</v>
      </c>
      <c r="C442" s="24" t="s">
        <v>949</v>
      </c>
      <c r="D442" s="25" t="s">
        <v>950</v>
      </c>
      <c r="E442" s="25" t="s">
        <v>951</v>
      </c>
      <c r="F442" s="26">
        <v>15</v>
      </c>
      <c r="G442" s="27">
        <v>1</v>
      </c>
      <c r="H442" s="28">
        <f>F442 * G442 * 18.850926</f>
        <v>282.76389</v>
      </c>
      <c r="I442" s="28">
        <f>F442 * G442 * 135.51792</f>
        <v>2032.7688000000001</v>
      </c>
      <c r="J442" s="28">
        <f t="shared" si="187"/>
        <v>0</v>
      </c>
      <c r="K442" s="28">
        <f>F442 * G442 * 17.946082</f>
        <v>269.19123000000002</v>
      </c>
      <c r="L442" s="28">
        <f>F442 * G442 * 18.093068</f>
        <v>271.39601999999996</v>
      </c>
      <c r="M442" s="28">
        <f>F442 * G442 * 3.770185</f>
        <v>56.552775000000004</v>
      </c>
      <c r="N442" s="29">
        <f t="shared" si="188"/>
        <v>2912.6727150000002</v>
      </c>
      <c r="O442" s="30">
        <f t="shared" si="189"/>
        <v>3566.9026968797257</v>
      </c>
      <c r="P442" s="31">
        <f t="shared" si="190"/>
        <v>2.4370082102700974E-2</v>
      </c>
    </row>
    <row r="443" spans="2:16" x14ac:dyDescent="0.25">
      <c r="B443" s="23">
        <v>17</v>
      </c>
      <c r="C443" s="24" t="s">
        <v>952</v>
      </c>
      <c r="D443" s="25" t="s">
        <v>953</v>
      </c>
      <c r="E443" s="25" t="s">
        <v>946</v>
      </c>
      <c r="F443" s="26">
        <v>1</v>
      </c>
      <c r="G443" s="27">
        <v>1</v>
      </c>
      <c r="H443" s="28">
        <f>F443 * G443 * 365.023837</f>
        <v>365.02383700000001</v>
      </c>
      <c r="I443" s="28">
        <f>F443 * G443 * 1579.913753</f>
        <v>1579.913753</v>
      </c>
      <c r="J443" s="28">
        <f t="shared" si="187"/>
        <v>0</v>
      </c>
      <c r="K443" s="28">
        <f>F443 * G443 * 347.502693</f>
        <v>347.50269300000002</v>
      </c>
      <c r="L443" s="28">
        <f>F443 * G443 * 240.706228999999</f>
        <v>240.70622899999901</v>
      </c>
      <c r="M443" s="28">
        <f>F443 * G443 * 73.004767</f>
        <v>73.004767000000001</v>
      </c>
      <c r="N443" s="29">
        <f t="shared" si="188"/>
        <v>2606.1512789999988</v>
      </c>
      <c r="O443" s="30">
        <f t="shared" si="189"/>
        <v>3191.531948532584</v>
      </c>
      <c r="P443" s="31">
        <f t="shared" si="190"/>
        <v>2.1805443609990052E-2</v>
      </c>
    </row>
    <row r="444" spans="2:16" ht="30" x14ac:dyDescent="0.25">
      <c r="B444" s="23">
        <v>18</v>
      </c>
      <c r="C444" s="24" t="s">
        <v>954</v>
      </c>
      <c r="D444" s="25" t="s">
        <v>955</v>
      </c>
      <c r="E444" s="25" t="s">
        <v>956</v>
      </c>
      <c r="F444" s="26">
        <v>0.04</v>
      </c>
      <c r="G444" s="27">
        <v>1</v>
      </c>
      <c r="H444" s="28">
        <f>F444 * G444 * 13890.156</f>
        <v>555.60624000000007</v>
      </c>
      <c r="I444" s="28">
        <f>F444 * G444 * 80.812176</f>
        <v>3.2324870399999996</v>
      </c>
      <c r="J444" s="28">
        <f t="shared" si="187"/>
        <v>0</v>
      </c>
      <c r="K444" s="28">
        <f>F444 * G444 * 13223.4285119999</f>
        <v>528.93714047999606</v>
      </c>
      <c r="L444" s="28">
        <f>F444 * G444 * 2855.411652</f>
        <v>114.21646607999999</v>
      </c>
      <c r="M444" s="28">
        <f>F444 * G444 * 2778.0312</f>
        <v>111.12124799999999</v>
      </c>
      <c r="N444" s="29">
        <f t="shared" si="188"/>
        <v>1313.113581599996</v>
      </c>
      <c r="O444" s="30">
        <f t="shared" si="189"/>
        <v>1608.0585887310795</v>
      </c>
      <c r="P444" s="31">
        <f t="shared" si="190"/>
        <v>1.0986708403234945E-2</v>
      </c>
    </row>
    <row r="445" spans="2:16" x14ac:dyDescent="0.25">
      <c r="B445" s="23">
        <v>19</v>
      </c>
      <c r="C445" s="24" t="s">
        <v>957</v>
      </c>
      <c r="D445" s="25" t="s">
        <v>958</v>
      </c>
      <c r="E445" s="25" t="s">
        <v>147</v>
      </c>
      <c r="F445" s="26">
        <v>0.03</v>
      </c>
      <c r="G445" s="27">
        <v>1</v>
      </c>
      <c r="H445" s="28">
        <f>F445 * G445 * 5078.96896</f>
        <v>152.36906880000001</v>
      </c>
      <c r="I445" s="28">
        <f>F445 * G445 * 1043.4</f>
        <v>31.302000000000003</v>
      </c>
      <c r="J445" s="28">
        <f t="shared" si="187"/>
        <v>0</v>
      </c>
      <c r="K445" s="28">
        <f>F445 * G445 * 4835.17844999999</f>
        <v>145.05535349999971</v>
      </c>
      <c r="L445" s="28">
        <f>F445 * G445 * 1150.542478</f>
        <v>34.516274340000002</v>
      </c>
      <c r="M445" s="28">
        <f>F445 * G445 * 1015.793792</f>
        <v>30.473813759999999</v>
      </c>
      <c r="N445" s="29">
        <f t="shared" si="188"/>
        <v>393.71651039999972</v>
      </c>
      <c r="O445" s="30">
        <f t="shared" si="189"/>
        <v>482.1511443834957</v>
      </c>
      <c r="P445" s="31">
        <f t="shared" si="190"/>
        <v>3.2941921810246762E-3</v>
      </c>
    </row>
    <row r="446" spans="2:16" ht="12.75" customHeight="1" x14ac:dyDescent="0.25">
      <c r="B446" s="21"/>
      <c r="C446" s="22" t="s">
        <v>19</v>
      </c>
      <c r="D446" s="95" t="s">
        <v>20</v>
      </c>
      <c r="E446" s="95"/>
      <c r="F446" s="95"/>
      <c r="G446" s="95"/>
      <c r="H446" s="95"/>
      <c r="I446" s="95"/>
      <c r="J446" s="95"/>
      <c r="K446" s="95"/>
      <c r="L446" s="95"/>
      <c r="M446" s="95"/>
      <c r="N446" s="95"/>
      <c r="O446" s="95"/>
      <c r="P446" s="95"/>
    </row>
    <row r="447" spans="2:16" x14ac:dyDescent="0.25">
      <c r="B447" s="33"/>
      <c r="C447" s="34" t="s">
        <v>959</v>
      </c>
      <c r="D447" s="96" t="s">
        <v>960</v>
      </c>
      <c r="E447" s="96"/>
      <c r="F447" s="96"/>
      <c r="G447" s="96"/>
      <c r="H447" s="96"/>
      <c r="I447" s="96"/>
      <c r="J447" s="96"/>
      <c r="K447" s="96"/>
      <c r="L447" s="96"/>
      <c r="M447" s="96"/>
      <c r="N447" s="96"/>
      <c r="O447" s="96"/>
      <c r="P447" s="96"/>
    </row>
    <row r="448" spans="2:16" ht="30" x14ac:dyDescent="0.25">
      <c r="B448" s="23">
        <v>20</v>
      </c>
      <c r="C448" s="24" t="s">
        <v>961</v>
      </c>
      <c r="D448" s="25" t="s">
        <v>962</v>
      </c>
      <c r="E448" s="25" t="s">
        <v>963</v>
      </c>
      <c r="F448" s="26">
        <v>0.54</v>
      </c>
      <c r="G448" s="27">
        <v>1</v>
      </c>
      <c r="H448" s="28">
        <f>F448 * G448 * 2011.7664</f>
        <v>1086.353856</v>
      </c>
      <c r="I448" s="28">
        <f>F448 * G448 * 0</f>
        <v>0</v>
      </c>
      <c r="J448" s="28">
        <f>F448 * G448 * 0</f>
        <v>0</v>
      </c>
      <c r="K448" s="28">
        <f>F448 * G448 * 1915.201613</f>
        <v>1034.2088710200001</v>
      </c>
      <c r="L448" s="28">
        <f>F448 * G448 * 412.331641</f>
        <v>222.65908614</v>
      </c>
      <c r="M448" s="28">
        <f>F448 * G448 * 402.35328</f>
        <v>217.27077120000001</v>
      </c>
      <c r="N448" s="29">
        <f>SUM(H448:M448)</f>
        <v>2560.4925843600004</v>
      </c>
      <c r="O448" s="30">
        <f t="shared" ref="O448:O451" si="191">N448*1.07*1.09*1.05</f>
        <v>3135.6176261960222</v>
      </c>
      <c r="P448" s="31">
        <f t="shared" ref="P448:P451" si="192">IF($P$9&gt;0,O448/$P$9/12,0)</f>
        <v>2.1423421238802042E-2</v>
      </c>
    </row>
    <row r="449" spans="2:16" x14ac:dyDescent="0.25">
      <c r="B449" s="23">
        <v>21</v>
      </c>
      <c r="C449" s="24" t="s">
        <v>964</v>
      </c>
      <c r="D449" s="25" t="s">
        <v>965</v>
      </c>
      <c r="E449" s="25" t="s">
        <v>354</v>
      </c>
      <c r="F449" s="26">
        <v>36</v>
      </c>
      <c r="G449" s="27">
        <v>2</v>
      </c>
      <c r="H449" s="28">
        <f>F449 * G449 * 992.154</f>
        <v>71435.088000000003</v>
      </c>
      <c r="I449" s="28">
        <f>F449 * G449 * 542.20704</f>
        <v>39038.906880000002</v>
      </c>
      <c r="J449" s="28">
        <f>F449 * G449 * 0</f>
        <v>0</v>
      </c>
      <c r="K449" s="28">
        <f>F449 * G449 * 944.530608</f>
        <v>68006.203776000009</v>
      </c>
      <c r="L449" s="28">
        <f>F449 * G449 * 260.283623</f>
        <v>18740.420855999997</v>
      </c>
      <c r="M449" s="28">
        <f>F449 * G449 * 198.4308</f>
        <v>14287.017600000001</v>
      </c>
      <c r="N449" s="29">
        <f>SUM(H449:M449)</f>
        <v>211507.637112</v>
      </c>
      <c r="O449" s="30">
        <f t="shared" si="191"/>
        <v>259015.42502191191</v>
      </c>
      <c r="P449" s="31">
        <f t="shared" si="192"/>
        <v>1.7696662090535371</v>
      </c>
    </row>
    <row r="450" spans="2:16" x14ac:dyDescent="0.25">
      <c r="B450" s="23">
        <v>22</v>
      </c>
      <c r="C450" s="24" t="s">
        <v>966</v>
      </c>
      <c r="D450" s="25" t="s">
        <v>967</v>
      </c>
      <c r="E450" s="25" t="s">
        <v>354</v>
      </c>
      <c r="F450" s="26">
        <v>1</v>
      </c>
      <c r="G450" s="27">
        <v>2</v>
      </c>
      <c r="H450" s="28">
        <f>F450 * G450 * 396.8616</f>
        <v>793.72320000000002</v>
      </c>
      <c r="I450" s="28">
        <f>F450 * G450 * 0</f>
        <v>0</v>
      </c>
      <c r="J450" s="28">
        <f>F450 * G450 * 0</f>
        <v>0</v>
      </c>
      <c r="K450" s="28">
        <f>F450 * G450 * 377.812242999999</f>
        <v>755.624485999998</v>
      </c>
      <c r="L450" s="28">
        <f>F450 * G450 * 81.3407529999999</f>
        <v>162.68150599999981</v>
      </c>
      <c r="M450" s="28">
        <f>F450 * G450 * 79.37232</f>
        <v>158.74464</v>
      </c>
      <c r="N450" s="29">
        <f>SUM(H450:M450)</f>
        <v>1870.773831999998</v>
      </c>
      <c r="O450" s="30">
        <f t="shared" si="191"/>
        <v>2290.9776962746778</v>
      </c>
      <c r="P450" s="31">
        <f t="shared" si="192"/>
        <v>1.5652603756898403E-2</v>
      </c>
    </row>
    <row r="451" spans="2:16" ht="15.75" thickBot="1" x14ac:dyDescent="0.3">
      <c r="B451" s="23">
        <v>23</v>
      </c>
      <c r="C451" s="24" t="s">
        <v>968</v>
      </c>
      <c r="D451" s="25" t="s">
        <v>969</v>
      </c>
      <c r="E451" s="25" t="s">
        <v>970</v>
      </c>
      <c r="F451" s="26">
        <v>4</v>
      </c>
      <c r="G451" s="27">
        <v>2</v>
      </c>
      <c r="H451" s="28">
        <f>F451 * G451 * 56.627498</f>
        <v>453.01998400000002</v>
      </c>
      <c r="I451" s="28">
        <f>F451 * G451 * 0</f>
        <v>0</v>
      </c>
      <c r="J451" s="28">
        <f>F451 * G451 * 0</f>
        <v>0</v>
      </c>
      <c r="K451" s="28">
        <f>F451 * G451 * 53.909378</f>
        <v>431.27502399999997</v>
      </c>
      <c r="L451" s="28">
        <f>F451 * G451 * 11.6063719999999</f>
        <v>92.850975999999207</v>
      </c>
      <c r="M451" s="28">
        <f>F451 * G451 * 11.3255</f>
        <v>90.603999999999999</v>
      </c>
      <c r="N451" s="29">
        <f>SUM(H451:M451)</f>
        <v>1067.7499839999994</v>
      </c>
      <c r="O451" s="30">
        <f t="shared" si="191"/>
        <v>1307.5826466561596</v>
      </c>
      <c r="P451" s="31">
        <f t="shared" si="192"/>
        <v>8.9337722845519354E-3</v>
      </c>
    </row>
    <row r="452" spans="2:16" ht="14.25" customHeight="1" thickTop="1" thickBot="1" x14ac:dyDescent="0.3">
      <c r="B452" s="106" t="s">
        <v>30</v>
      </c>
      <c r="C452" s="97"/>
      <c r="D452" s="97"/>
      <c r="E452" s="97"/>
      <c r="F452" s="97"/>
      <c r="G452" s="97"/>
      <c r="H452" s="36">
        <f t="shared" ref="H452:P452" si="193">SUM(H419:H451)</f>
        <v>96764.700761</v>
      </c>
      <c r="I452" s="36">
        <f t="shared" si="193"/>
        <v>124106.31400573999</v>
      </c>
      <c r="J452" s="36">
        <f t="shared" si="193"/>
        <v>0</v>
      </c>
      <c r="K452" s="36">
        <f t="shared" si="193"/>
        <v>92119.995121619999</v>
      </c>
      <c r="L452" s="36">
        <f t="shared" si="193"/>
        <v>32864.05605028</v>
      </c>
      <c r="M452" s="36">
        <f t="shared" si="193"/>
        <v>19352.94014622</v>
      </c>
      <c r="N452" s="36">
        <f t="shared" si="193"/>
        <v>365208.00608485995</v>
      </c>
      <c r="O452" s="38">
        <f>SUM(O448:O451,O439:O445,O436:O437,O434,O432,O426:O430,O421:O423)</f>
        <v>447239.20237161074</v>
      </c>
      <c r="P452" s="37">
        <f t="shared" si="193"/>
        <v>3.0556639772868386</v>
      </c>
    </row>
    <row r="453" spans="2:16" ht="14.25" customHeight="1" thickTop="1" thickBot="1" x14ac:dyDescent="0.3">
      <c r="B453" s="39"/>
      <c r="C453" s="107" t="s">
        <v>1036</v>
      </c>
      <c r="D453" s="108"/>
      <c r="E453" s="108"/>
      <c r="F453" s="108"/>
      <c r="G453" s="108"/>
      <c r="H453" s="108"/>
      <c r="I453" s="108"/>
      <c r="J453" s="108"/>
      <c r="K453" s="108"/>
      <c r="L453" s="108"/>
      <c r="M453" s="109"/>
      <c r="N453" s="109"/>
      <c r="O453" s="40"/>
      <c r="P453" s="40"/>
    </row>
    <row r="454" spans="2:16" ht="14.25" customHeight="1" x14ac:dyDescent="0.25">
      <c r="B454" s="39"/>
      <c r="C454" s="132" t="s">
        <v>971</v>
      </c>
      <c r="D454" s="133"/>
      <c r="E454" s="133"/>
      <c r="F454" s="133"/>
      <c r="G454" s="133"/>
      <c r="H454" s="133"/>
      <c r="I454" s="133"/>
      <c r="J454" s="133"/>
      <c r="K454" s="133"/>
      <c r="L454" s="133"/>
      <c r="M454" s="133"/>
      <c r="N454" s="133"/>
      <c r="O454" s="133"/>
      <c r="P454" s="133"/>
    </row>
    <row r="455" spans="2:16" ht="45" x14ac:dyDescent="0.25">
      <c r="B455" s="39"/>
      <c r="C455" s="41">
        <v>1</v>
      </c>
      <c r="D455" s="42" t="s">
        <v>972</v>
      </c>
      <c r="E455" s="42" t="s">
        <v>973</v>
      </c>
      <c r="F455" s="43">
        <v>3.9990000000000001</v>
      </c>
      <c r="G455" s="43">
        <v>12</v>
      </c>
      <c r="H455" s="44">
        <f>1111.21248*F455*G455</f>
        <v>53324.864490239997</v>
      </c>
      <c r="I455" s="44">
        <f>4.87296*F455*G455</f>
        <v>233.84360448000001</v>
      </c>
      <c r="J455" s="44">
        <f>0*F455*G455</f>
        <v>0</v>
      </c>
      <c r="K455" s="44">
        <f>1057.87428096*F455*G455</f>
        <v>50765.27099470848</v>
      </c>
      <c r="L455" s="44">
        <f>228.2657707008*F455*G455</f>
        <v>10954.01780438999</v>
      </c>
      <c r="M455" s="44">
        <f>222.242496*F455*G455</f>
        <v>10664.972898047999</v>
      </c>
      <c r="N455" s="44">
        <f>SUM(H455:M455)</f>
        <v>125942.96979186646</v>
      </c>
      <c r="O455" s="45">
        <f t="shared" ref="O455:O456" si="194">N455*1.07*1.09*1.05</f>
        <v>154231.64995166656</v>
      </c>
      <c r="P455" s="46">
        <f t="shared" ref="P455:P456" si="195">IF($P$9&gt;0,O455/$P$9/12,0)</f>
        <v>1.0537539965542522</v>
      </c>
    </row>
    <row r="456" spans="2:16" ht="45" x14ac:dyDescent="0.25">
      <c r="B456" s="39"/>
      <c r="C456" s="47">
        <v>2</v>
      </c>
      <c r="D456" s="48" t="s">
        <v>974</v>
      </c>
      <c r="E456" s="48" t="s">
        <v>973</v>
      </c>
      <c r="F456" s="49">
        <v>2.165</v>
      </c>
      <c r="G456" s="49">
        <v>2</v>
      </c>
      <c r="H456" s="50">
        <f>791.738892*F456*G456</f>
        <v>3428.2294023599998</v>
      </c>
      <c r="I456" s="50">
        <f>541.44*F456*G456</f>
        <v>2344.4352000000003</v>
      </c>
      <c r="J456" s="50">
        <f>0*F456*G456</f>
        <v>0</v>
      </c>
      <c r="K456" s="50">
        <f>753.735425184*F456*G456</f>
        <v>3263.6743910467198</v>
      </c>
      <c r="L456" s="50">
        <f>219.12600330432*F456*G456</f>
        <v>948.81559430770562</v>
      </c>
      <c r="M456" s="50">
        <f>158.3477784*F456*G456</f>
        <v>685.64588047200004</v>
      </c>
      <c r="N456" s="50">
        <f>SUM(H456:M456)</f>
        <v>10670.800468186426</v>
      </c>
      <c r="O456" s="51">
        <f t="shared" si="194"/>
        <v>13067.622315348122</v>
      </c>
      <c r="P456" s="52">
        <f t="shared" si="195"/>
        <v>8.9281669777733066E-2</v>
      </c>
    </row>
    <row r="457" spans="2:16" ht="13.5" customHeight="1" x14ac:dyDescent="0.25">
      <c r="B457" s="39"/>
      <c r="C457" s="115" t="s">
        <v>975</v>
      </c>
      <c r="D457" s="116"/>
      <c r="E457" s="116"/>
      <c r="F457" s="116"/>
      <c r="G457" s="116"/>
      <c r="H457" s="53">
        <f t="shared" ref="H457:P457" si="196">SUM(H455:H456)</f>
        <v>56753.093892599994</v>
      </c>
      <c r="I457" s="53">
        <f t="shared" si="196"/>
        <v>2578.2788044800004</v>
      </c>
      <c r="J457" s="53">
        <f t="shared" si="196"/>
        <v>0</v>
      </c>
      <c r="K457" s="53">
        <f t="shared" si="196"/>
        <v>54028.9453857552</v>
      </c>
      <c r="L457" s="53">
        <f t="shared" si="196"/>
        <v>11902.833398697696</v>
      </c>
      <c r="M457" s="53">
        <f t="shared" si="196"/>
        <v>11350.61877852</v>
      </c>
      <c r="N457" s="53">
        <f t="shared" si="196"/>
        <v>136613.77026005287</v>
      </c>
      <c r="O457" s="53">
        <f>SUM(O455:O456)</f>
        <v>167299.27226701469</v>
      </c>
      <c r="P457" s="53">
        <f t="shared" si="196"/>
        <v>1.1430356663319852</v>
      </c>
    </row>
    <row r="458" spans="2:16" ht="14.25" customHeight="1" x14ac:dyDescent="0.25">
      <c r="B458" s="39"/>
      <c r="C458" s="107" t="s">
        <v>1037</v>
      </c>
      <c r="D458" s="108"/>
      <c r="E458" s="108"/>
      <c r="F458" s="108"/>
      <c r="G458" s="108"/>
      <c r="H458" s="108"/>
      <c r="I458" s="108"/>
      <c r="J458" s="108"/>
      <c r="K458" s="108"/>
      <c r="L458" s="108"/>
      <c r="M458" s="109"/>
      <c r="N458" s="109"/>
      <c r="O458" s="40"/>
      <c r="P458" s="40"/>
    </row>
    <row r="459" spans="2:16" ht="14.25" customHeight="1" x14ac:dyDescent="0.25">
      <c r="B459" s="39"/>
      <c r="C459" s="132" t="s">
        <v>971</v>
      </c>
      <c r="D459" s="133"/>
      <c r="E459" s="133"/>
      <c r="F459" s="133"/>
      <c r="G459" s="133"/>
      <c r="H459" s="133"/>
      <c r="I459" s="133"/>
      <c r="J459" s="133"/>
      <c r="K459" s="133"/>
      <c r="L459" s="133"/>
      <c r="M459" s="133"/>
      <c r="N459" s="133"/>
      <c r="O459" s="133"/>
      <c r="P459" s="133"/>
    </row>
    <row r="460" spans="2:16" x14ac:dyDescent="0.25">
      <c r="B460" s="39"/>
      <c r="C460" s="41">
        <v>1</v>
      </c>
      <c r="D460" s="42" t="s">
        <v>976</v>
      </c>
      <c r="E460" s="42" t="s">
        <v>977</v>
      </c>
      <c r="F460" s="43">
        <v>1</v>
      </c>
      <c r="G460" s="43">
        <v>6</v>
      </c>
      <c r="H460" s="44">
        <f>161.76652192*F460*G460</f>
        <v>970.59913152000001</v>
      </c>
      <c r="I460" s="44">
        <f>1112.866188*F460*G460</f>
        <v>6677.1971279999998</v>
      </c>
      <c r="J460" s="44">
        <f>0*F460*G460</f>
        <v>0</v>
      </c>
      <c r="K460" s="44">
        <f>154.00172886784*F460*G460</f>
        <v>924.01037320703995</v>
      </c>
      <c r="L460" s="44">
        <f>150.00661607272*F460*G460</f>
        <v>900.0396964363199</v>
      </c>
      <c r="M460" s="44">
        <f>32.353304384*F460*G460</f>
        <v>194.11982630399999</v>
      </c>
      <c r="N460" s="44">
        <f>SUM(H460:M460)</f>
        <v>9665.9661554673603</v>
      </c>
      <c r="O460" s="45">
        <f t="shared" ref="O460:O462" si="197">N460*1.07*1.09*1.05</f>
        <v>11837.087143477664</v>
      </c>
      <c r="P460" s="46">
        <f t="shared" ref="P460:P462" si="198">IF($P$9&gt;0,O460/$P$9/12,0)</f>
        <v>8.0874307503741791E-2</v>
      </c>
    </row>
    <row r="461" spans="2:16" x14ac:dyDescent="0.25">
      <c r="B461" s="39"/>
      <c r="C461" s="47">
        <v>2</v>
      </c>
      <c r="D461" s="48" t="s">
        <v>978</v>
      </c>
      <c r="E461" s="48" t="s">
        <v>458</v>
      </c>
      <c r="F461" s="49">
        <v>0.2</v>
      </c>
      <c r="G461" s="49">
        <v>30</v>
      </c>
      <c r="H461" s="50">
        <f>1002.3744*F461*G461</f>
        <v>6014.2464</v>
      </c>
      <c r="I461" s="50">
        <f>0*F461*G461</f>
        <v>0</v>
      </c>
      <c r="J461" s="50">
        <f>0*F461*G461</f>
        <v>0</v>
      </c>
      <c r="K461" s="50">
        <f>954.2604288*F461*G461</f>
        <v>5725.5625728000005</v>
      </c>
      <c r="L461" s="50">
        <f>205.446657024*F461*G461</f>
        <v>1232.6799421440001</v>
      </c>
      <c r="M461" s="50">
        <f>200.47488*F461*G461</f>
        <v>1202.8492800000001</v>
      </c>
      <c r="N461" s="50">
        <f>SUM(H461:M461)</f>
        <v>14175.338194944003</v>
      </c>
      <c r="O461" s="51">
        <f t="shared" si="197"/>
        <v>17359.331783601356</v>
      </c>
      <c r="P461" s="52">
        <f t="shared" si="198"/>
        <v>0.11860383553060422</v>
      </c>
    </row>
    <row r="462" spans="2:16" x14ac:dyDescent="0.25">
      <c r="B462" s="39"/>
      <c r="C462" s="47">
        <v>3</v>
      </c>
      <c r="D462" s="48" t="s">
        <v>979</v>
      </c>
      <c r="E462" s="48" t="s">
        <v>980</v>
      </c>
      <c r="F462" s="49">
        <v>0.2</v>
      </c>
      <c r="G462" s="49">
        <v>300</v>
      </c>
      <c r="H462" s="50">
        <f>405.961632*F462*G462</f>
        <v>24357.697920000002</v>
      </c>
      <c r="I462" s="50">
        <f>2.81344914*F462*G462</f>
        <v>168.80694840000001</v>
      </c>
      <c r="J462" s="50">
        <f>0*F462*G462</f>
        <v>0</v>
      </c>
      <c r="K462" s="50">
        <f>386.475473664*F462*G462</f>
        <v>23188.528419840004</v>
      </c>
      <c r="L462" s="50">
        <f>83.50130825442*F462*G462</f>
        <v>5010.0784952651993</v>
      </c>
      <c r="M462" s="50">
        <f>81.1923264*F462*G462</f>
        <v>4871.5395840000001</v>
      </c>
      <c r="N462" s="50">
        <f>SUM(H462:M462)</f>
        <v>57596.651367505212</v>
      </c>
      <c r="O462" s="51">
        <f t="shared" si="197"/>
        <v>70533.723214417405</v>
      </c>
      <c r="P462" s="52">
        <f t="shared" si="198"/>
        <v>0.48190622840601111</v>
      </c>
    </row>
    <row r="463" spans="2:16" ht="13.5" customHeight="1" x14ac:dyDescent="0.25">
      <c r="B463" s="39"/>
      <c r="C463" s="115" t="s">
        <v>975</v>
      </c>
      <c r="D463" s="116"/>
      <c r="E463" s="116"/>
      <c r="F463" s="116"/>
      <c r="G463" s="116"/>
      <c r="H463" s="53">
        <f t="shared" ref="H463:P463" si="199">SUM(H460:H462)</f>
        <v>31342.543451520003</v>
      </c>
      <c r="I463" s="53">
        <f t="shared" si="199"/>
        <v>6846.0040763999996</v>
      </c>
      <c r="J463" s="53">
        <f t="shared" si="199"/>
        <v>0</v>
      </c>
      <c r="K463" s="53">
        <f t="shared" si="199"/>
        <v>29838.101365847044</v>
      </c>
      <c r="L463" s="53">
        <f t="shared" si="199"/>
        <v>7142.7981338455193</v>
      </c>
      <c r="M463" s="53">
        <f t="shared" si="199"/>
        <v>6268.5086903040001</v>
      </c>
      <c r="N463" s="53">
        <f t="shared" si="199"/>
        <v>81437.955717916571</v>
      </c>
      <c r="O463" s="53">
        <f>SUM(O460:O462)</f>
        <v>99730.142141496428</v>
      </c>
      <c r="P463" s="53">
        <f t="shared" si="199"/>
        <v>0.68138437144035713</v>
      </c>
    </row>
    <row r="464" spans="2:16" ht="14.25" customHeight="1" x14ac:dyDescent="0.25">
      <c r="B464" s="39"/>
      <c r="C464" s="101" t="s">
        <v>1038</v>
      </c>
      <c r="D464" s="102"/>
      <c r="E464" s="102"/>
      <c r="F464" s="102"/>
      <c r="G464" s="102"/>
      <c r="H464" s="102"/>
      <c r="I464" s="102"/>
      <c r="J464" s="102"/>
      <c r="K464" s="102"/>
      <c r="L464" s="102"/>
      <c r="M464" s="103"/>
      <c r="N464" s="103"/>
      <c r="O464" s="54"/>
      <c r="P464" s="54"/>
    </row>
    <row r="465" spans="2:16" ht="13.5" customHeight="1" x14ac:dyDescent="0.25">
      <c r="B465" s="39"/>
      <c r="C465" s="104" t="s">
        <v>971</v>
      </c>
      <c r="D465" s="105"/>
      <c r="E465" s="105"/>
      <c r="F465" s="10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</row>
    <row r="466" spans="2:16" ht="45" x14ac:dyDescent="0.25">
      <c r="B466" s="39"/>
      <c r="C466" s="55">
        <v>1</v>
      </c>
      <c r="D466" s="56" t="s">
        <v>981</v>
      </c>
      <c r="E466" s="56" t="s">
        <v>982</v>
      </c>
      <c r="F466" s="57">
        <v>4.6849999999999996</v>
      </c>
      <c r="G466" s="57">
        <v>144</v>
      </c>
      <c r="H466" s="58">
        <f>212.2032276*F466*G466</f>
        <v>143160.78546806399</v>
      </c>
      <c r="I466" s="58">
        <f>0*F466*G466</f>
        <v>0</v>
      </c>
      <c r="J466" s="58">
        <f t="shared" ref="J466:J476" si="200">0*F466*G466</f>
        <v>0</v>
      </c>
      <c r="K466" s="58">
        <f>202.0174726752*F466*G466</f>
        <v>136289.0677655969</v>
      </c>
      <c r="L466" s="58">
        <f>43.493173528896*F466*G466</f>
        <v>29342.234589534397</v>
      </c>
      <c r="M466" s="58">
        <f>42.44064552*F466*G466</f>
        <v>28632.157093612794</v>
      </c>
      <c r="N466" s="58">
        <f t="shared" ref="N466:N476" si="201">SUM(H466:M466)</f>
        <v>337424.24491680809</v>
      </c>
      <c r="O466" s="59">
        <f t="shared" ref="O466:O476" si="202">N466*1.07*1.09*1.05</f>
        <v>413214.79168879701</v>
      </c>
      <c r="P466" s="60">
        <f t="shared" ref="P466:P476" si="203">IF($P$9&gt;0,O466/$P$9/12,0)</f>
        <v>2.8231996371293282</v>
      </c>
    </row>
    <row r="467" spans="2:16" ht="45" x14ac:dyDescent="0.25">
      <c r="B467" s="39"/>
      <c r="C467" s="47">
        <v>2</v>
      </c>
      <c r="D467" s="48" t="s">
        <v>983</v>
      </c>
      <c r="E467" s="48" t="s">
        <v>984</v>
      </c>
      <c r="F467" s="49">
        <v>9.3719999999999999</v>
      </c>
      <c r="G467" s="49">
        <v>144</v>
      </c>
      <c r="H467" s="50">
        <f>185.2966476*F467*G467</f>
        <v>250070.4261082368</v>
      </c>
      <c r="I467" s="50">
        <f>0*F467*G467</f>
        <v>0</v>
      </c>
      <c r="J467" s="50">
        <f t="shared" si="200"/>
        <v>0</v>
      </c>
      <c r="K467" s="50">
        <f>176.4024085152*F467*G467</f>
        <v>238067.04565504144</v>
      </c>
      <c r="L467" s="50">
        <f>37.978400892096*F467*G467</f>
        <v>51254.434535144217</v>
      </c>
      <c r="M467" s="50">
        <f>37.05932952*F467*G467</f>
        <v>50014.085221647358</v>
      </c>
      <c r="N467" s="50">
        <f t="shared" si="201"/>
        <v>589405.99152006989</v>
      </c>
      <c r="O467" s="51">
        <f t="shared" si="202"/>
        <v>721795.41830535058</v>
      </c>
      <c r="P467" s="61">
        <f t="shared" si="203"/>
        <v>4.9315092393303717</v>
      </c>
    </row>
    <row r="468" spans="2:16" ht="45" x14ac:dyDescent="0.25">
      <c r="B468" s="39"/>
      <c r="C468" s="47">
        <v>3</v>
      </c>
      <c r="D468" s="48" t="s">
        <v>985</v>
      </c>
      <c r="E468" s="48" t="s">
        <v>982</v>
      </c>
      <c r="F468" s="49">
        <v>4.6849999999999996</v>
      </c>
      <c r="G468" s="49">
        <v>24</v>
      </c>
      <c r="H468" s="50">
        <f>272.1152124*F468*G468</f>
        <v>30596.634482255999</v>
      </c>
      <c r="I468" s="50">
        <f>75.599124*F468*G468</f>
        <v>8500.3655025600001</v>
      </c>
      <c r="J468" s="50">
        <f t="shared" si="200"/>
        <v>0</v>
      </c>
      <c r="K468" s="50">
        <f>259.0536822048*F468*G468</f>
        <v>29127.996027107707</v>
      </c>
      <c r="L468" s="50">
        <f>63.710641953504*F468*G468</f>
        <v>7163.6245812519892</v>
      </c>
      <c r="M468" s="50">
        <f>54.42304248*F468*G468</f>
        <v>6119.326896451199</v>
      </c>
      <c r="N468" s="50">
        <f t="shared" si="201"/>
        <v>81507.947489626895</v>
      </c>
      <c r="O468" s="51">
        <f t="shared" si="202"/>
        <v>99815.855115009457</v>
      </c>
      <c r="P468" s="61">
        <f t="shared" si="203"/>
        <v>0.68196998657463215</v>
      </c>
    </row>
    <row r="469" spans="2:16" ht="45" x14ac:dyDescent="0.25">
      <c r="B469" s="39"/>
      <c r="C469" s="47">
        <v>4</v>
      </c>
      <c r="D469" s="48" t="s">
        <v>986</v>
      </c>
      <c r="E469" s="48" t="s">
        <v>982</v>
      </c>
      <c r="F469" s="49">
        <v>9.3719999999999999</v>
      </c>
      <c r="G469" s="49">
        <v>24</v>
      </c>
      <c r="H469" s="50">
        <f>233.19036*F469*G469</f>
        <v>52451.041294080002</v>
      </c>
      <c r="I469" s="50">
        <f>75.599124*F469*G469</f>
        <v>17004.359763072</v>
      </c>
      <c r="J469" s="50">
        <f t="shared" si="200"/>
        <v>0</v>
      </c>
      <c r="K469" s="50">
        <f>221.99722272*F469*G469</f>
        <v>49933.391311964151</v>
      </c>
      <c r="L469" s="50">
        <f>55.7326042056*F469*G469</f>
        <v>12535.823198757196</v>
      </c>
      <c r="M469" s="50">
        <f>46.638072*F469*G469</f>
        <v>10490.208258816001</v>
      </c>
      <c r="N469" s="50">
        <f t="shared" si="201"/>
        <v>142414.82382668936</v>
      </c>
      <c r="O469" s="51">
        <f t="shared" si="202"/>
        <v>174403.32948052121</v>
      </c>
      <c r="P469" s="61">
        <f t="shared" si="203"/>
        <v>1.1915725826058403</v>
      </c>
    </row>
    <row r="470" spans="2:16" ht="30" x14ac:dyDescent="0.25">
      <c r="B470" s="39"/>
      <c r="C470" s="47">
        <v>5</v>
      </c>
      <c r="D470" s="48" t="s">
        <v>987</v>
      </c>
      <c r="E470" s="48" t="s">
        <v>147</v>
      </c>
      <c r="F470" s="49">
        <v>0.09</v>
      </c>
      <c r="G470" s="49">
        <v>1</v>
      </c>
      <c r="H470" s="50">
        <f>161.43948*F470*G470</f>
        <v>14.529553200000001</v>
      </c>
      <c r="I470" s="50">
        <f>9.708308532*F470*G470</f>
        <v>0.87374776787999997</v>
      </c>
      <c r="J470" s="50">
        <f t="shared" si="200"/>
        <v>0</v>
      </c>
      <c r="K470" s="50">
        <f>153.69038496*F470*G470</f>
        <v>13.832134646399998</v>
      </c>
      <c r="L470" s="50">
        <f>34.10800821666*F470*G470</f>
        <v>3.0697207394993997</v>
      </c>
      <c r="M470" s="50">
        <f>32.287896*F470*G470</f>
        <v>2.9059106400000001</v>
      </c>
      <c r="N470" s="50">
        <f t="shared" si="201"/>
        <v>35.211066993779404</v>
      </c>
      <c r="O470" s="51">
        <f t="shared" si="202"/>
        <v>43.120000806587178</v>
      </c>
      <c r="P470" s="61">
        <f t="shared" si="203"/>
        <v>2.9460796921775288E-4</v>
      </c>
    </row>
    <row r="471" spans="2:16" ht="30" x14ac:dyDescent="0.25">
      <c r="B471" s="39"/>
      <c r="C471" s="47">
        <v>6</v>
      </c>
      <c r="D471" s="48" t="s">
        <v>988</v>
      </c>
      <c r="E471" s="48" t="s">
        <v>989</v>
      </c>
      <c r="F471" s="49">
        <v>7.1999999999999995E-2</v>
      </c>
      <c r="G471" s="49">
        <v>2</v>
      </c>
      <c r="H471" s="50">
        <f>406.6481124*F471*G471</f>
        <v>58.557328185599999</v>
      </c>
      <c r="I471" s="50">
        <f>46.242783*F471*G471</f>
        <v>6.6589607519999996</v>
      </c>
      <c r="J471" s="50">
        <f t="shared" si="200"/>
        <v>0</v>
      </c>
      <c r="K471" s="50">
        <f>387.1290030048*F471*G471</f>
        <v>55.746576432691192</v>
      </c>
      <c r="L471" s="50">
        <f>88.202089332504*F471*G471</f>
        <v>12.701100863880574</v>
      </c>
      <c r="M471" s="50">
        <f>81.32962248*F471*G471</f>
        <v>11.711465637119998</v>
      </c>
      <c r="N471" s="50">
        <f t="shared" si="201"/>
        <v>145.37543187129177</v>
      </c>
      <c r="O471" s="51">
        <f t="shared" si="202"/>
        <v>178.02893450106203</v>
      </c>
      <c r="P471" s="61">
        <f t="shared" si="203"/>
        <v>1.2163437354886586E-3</v>
      </c>
    </row>
    <row r="472" spans="2:16" ht="30" x14ac:dyDescent="0.25">
      <c r="B472" s="39"/>
      <c r="C472" s="47">
        <v>7</v>
      </c>
      <c r="D472" s="48" t="s">
        <v>990</v>
      </c>
      <c r="E472" s="48" t="s">
        <v>991</v>
      </c>
      <c r="F472" s="49">
        <v>0.441</v>
      </c>
      <c r="G472" s="49">
        <v>2</v>
      </c>
      <c r="H472" s="50">
        <f>409.5181476*F472*G472</f>
        <v>361.19500618320001</v>
      </c>
      <c r="I472" s="50">
        <f>68.915583*F472*G472</f>
        <v>60.783544206000002</v>
      </c>
      <c r="J472" s="50">
        <f t="shared" si="200"/>
        <v>0</v>
      </c>
      <c r="K472" s="50">
        <f>389.8612765152*F472*G472</f>
        <v>343.85764588640643</v>
      </c>
      <c r="L472" s="50">
        <f>91.170975747096*F472*G472</f>
        <v>80.412800608938667</v>
      </c>
      <c r="M472" s="50">
        <f>81.90362952*F472*G472</f>
        <v>72.239001236639993</v>
      </c>
      <c r="N472" s="50">
        <f t="shared" si="201"/>
        <v>918.48799812118511</v>
      </c>
      <c r="O472" s="51">
        <f t="shared" si="202"/>
        <v>1124.7941798191753</v>
      </c>
      <c r="P472" s="61">
        <f t="shared" si="203"/>
        <v>7.6849100859444621E-3</v>
      </c>
    </row>
    <row r="473" spans="2:16" ht="30" x14ac:dyDescent="0.25">
      <c r="B473" s="39"/>
      <c r="C473" s="47">
        <v>8</v>
      </c>
      <c r="D473" s="48" t="s">
        <v>992</v>
      </c>
      <c r="E473" s="48" t="s">
        <v>993</v>
      </c>
      <c r="F473" s="49">
        <v>1.08</v>
      </c>
      <c r="G473" s="49">
        <v>2</v>
      </c>
      <c r="H473" s="50">
        <f>600.91362*F473*G473</f>
        <v>1297.9734192000001</v>
      </c>
      <c r="I473" s="50">
        <f>183.48802632*F473*G473</f>
        <v>396.33413685120001</v>
      </c>
      <c r="J473" s="50">
        <f t="shared" si="200"/>
        <v>0</v>
      </c>
      <c r="K473" s="50">
        <f>572.06976624*F473*G473</f>
        <v>1235.6706950784001</v>
      </c>
      <c r="L473" s="50">
        <f>142.4294983188*F473*G473</f>
        <v>307.64771636860803</v>
      </c>
      <c r="M473" s="50">
        <f>120.182724*F473*G473</f>
        <v>259.59468384000002</v>
      </c>
      <c r="N473" s="50">
        <f t="shared" si="201"/>
        <v>3497.2206513382084</v>
      </c>
      <c r="O473" s="51">
        <f t="shared" si="202"/>
        <v>4282.7488679385406</v>
      </c>
      <c r="P473" s="61">
        <f t="shared" si="203"/>
        <v>2.9260944412140558E-2</v>
      </c>
    </row>
    <row r="474" spans="2:16" ht="30" x14ac:dyDescent="0.25">
      <c r="B474" s="39"/>
      <c r="C474" s="47">
        <v>9</v>
      </c>
      <c r="D474" s="48" t="s">
        <v>994</v>
      </c>
      <c r="E474" s="48" t="s">
        <v>995</v>
      </c>
      <c r="F474" s="49">
        <v>0.21</v>
      </c>
      <c r="G474" s="49">
        <v>2</v>
      </c>
      <c r="H474" s="50">
        <f>191.3954724*F474*G474</f>
        <v>80.386098407999995</v>
      </c>
      <c r="I474" s="50">
        <f>57.775032*F474*G474</f>
        <v>24.265513439999999</v>
      </c>
      <c r="J474" s="50">
        <f t="shared" si="200"/>
        <v>0</v>
      </c>
      <c r="K474" s="50">
        <f>182.2084897248*F474*G474</f>
        <v>76.52756568441599</v>
      </c>
      <c r="L474" s="50">
        <f>45.294794383104*F474*G474</f>
        <v>19.023813640903679</v>
      </c>
      <c r="M474" s="50">
        <f>38.27909448*F474*G474</f>
        <v>16.077219681599999</v>
      </c>
      <c r="N474" s="50">
        <f t="shared" si="201"/>
        <v>216.28021085491963</v>
      </c>
      <c r="O474" s="51">
        <f t="shared" si="202"/>
        <v>264.85999041609745</v>
      </c>
      <c r="P474" s="61">
        <f t="shared" si="203"/>
        <v>1.8095979230965092E-3</v>
      </c>
    </row>
    <row r="475" spans="2:16" ht="75" x14ac:dyDescent="0.25">
      <c r="B475" s="39"/>
      <c r="C475" s="47">
        <v>10</v>
      </c>
      <c r="D475" s="48" t="s">
        <v>996</v>
      </c>
      <c r="E475" s="48" t="s">
        <v>997</v>
      </c>
      <c r="F475" s="49">
        <v>1.08</v>
      </c>
      <c r="G475" s="49">
        <v>2</v>
      </c>
      <c r="H475" s="50">
        <f>242.15922*F475*G475</f>
        <v>523.0639152</v>
      </c>
      <c r="I475" s="50">
        <f>57.775032*F475*G475</f>
        <v>124.79406912000002</v>
      </c>
      <c r="J475" s="50">
        <f t="shared" si="200"/>
        <v>0</v>
      </c>
      <c r="K475" s="50">
        <f>230.53557744*F475*G475</f>
        <v>497.95684727040003</v>
      </c>
      <c r="L475" s="50">
        <f>55.6993320912*F475*G475</f>
        <v>120.310557316992</v>
      </c>
      <c r="M475" s="50">
        <f>48.431844*F475*G475</f>
        <v>104.61278304</v>
      </c>
      <c r="N475" s="50">
        <f t="shared" si="201"/>
        <v>1370.7381719473919</v>
      </c>
      <c r="O475" s="51">
        <f t="shared" si="202"/>
        <v>1678.626526439356</v>
      </c>
      <c r="P475" s="61">
        <f t="shared" si="203"/>
        <v>1.1468848394682818E-2</v>
      </c>
    </row>
    <row r="476" spans="2:16" x14ac:dyDescent="0.25">
      <c r="B476" s="39"/>
      <c r="C476" s="47">
        <v>11</v>
      </c>
      <c r="D476" s="48" t="s">
        <v>998</v>
      </c>
      <c r="E476" s="48" t="s">
        <v>999</v>
      </c>
      <c r="F476" s="49">
        <v>14.05</v>
      </c>
      <c r="G476" s="49">
        <v>2</v>
      </c>
      <c r="H476" s="50">
        <f>188.34606*F476*G476</f>
        <v>5292.5242859999998</v>
      </c>
      <c r="I476" s="50">
        <f>8.910072*F476*G476</f>
        <v>250.37302320000001</v>
      </c>
      <c r="J476" s="50">
        <f t="shared" si="200"/>
        <v>0</v>
      </c>
      <c r="K476" s="50">
        <f>179.30544912*F476*G476</f>
        <v>5038.4831202719997</v>
      </c>
      <c r="L476" s="50">
        <f>39.5389660176*F476*G476</f>
        <v>1111.0449450945603</v>
      </c>
      <c r="M476" s="50">
        <f>37.669212*F476*G476</f>
        <v>1058.5048572000001</v>
      </c>
      <c r="N476" s="50">
        <f t="shared" si="201"/>
        <v>12750.930231766559</v>
      </c>
      <c r="O476" s="51">
        <f t="shared" si="202"/>
        <v>15614.980425774806</v>
      </c>
      <c r="P476" s="61">
        <f t="shared" si="203"/>
        <v>0.10668593660855678</v>
      </c>
    </row>
    <row r="477" spans="2:16" ht="13.5" customHeight="1" x14ac:dyDescent="0.25">
      <c r="B477" s="39"/>
      <c r="C477" s="113" t="s">
        <v>975</v>
      </c>
      <c r="D477" s="114"/>
      <c r="E477" s="114"/>
      <c r="F477" s="114"/>
      <c r="G477" s="114"/>
      <c r="H477" s="62">
        <f t="shared" ref="H477:P477" si="204">SUM(H466:H476)</f>
        <v>483907.11695901357</v>
      </c>
      <c r="I477" s="62">
        <f t="shared" si="204"/>
        <v>26368.808260969079</v>
      </c>
      <c r="J477" s="62">
        <f t="shared" si="204"/>
        <v>0</v>
      </c>
      <c r="K477" s="62">
        <f t="shared" si="204"/>
        <v>460679.57534498093</v>
      </c>
      <c r="L477" s="62">
        <f t="shared" si="204"/>
        <v>101950.32755932119</v>
      </c>
      <c r="M477" s="62">
        <f t="shared" si="204"/>
        <v>96781.423391802688</v>
      </c>
      <c r="N477" s="62">
        <f t="shared" si="204"/>
        <v>1169687.2515160877</v>
      </c>
      <c r="O477" s="62">
        <f t="shared" si="204"/>
        <v>1432416.553515374</v>
      </c>
      <c r="P477" s="62">
        <f t="shared" si="204"/>
        <v>9.7866726347692996</v>
      </c>
    </row>
    <row r="478" spans="2:16" ht="14.25" customHeight="1" x14ac:dyDescent="0.25">
      <c r="B478" s="39"/>
      <c r="C478" s="107" t="s">
        <v>1039</v>
      </c>
      <c r="D478" s="108"/>
      <c r="E478" s="108"/>
      <c r="F478" s="108"/>
      <c r="G478" s="108"/>
      <c r="H478" s="108"/>
      <c r="I478" s="108"/>
      <c r="J478" s="108"/>
      <c r="K478" s="108"/>
      <c r="L478" s="108"/>
      <c r="M478" s="109"/>
      <c r="N478" s="109"/>
      <c r="O478" s="40"/>
      <c r="P478" s="40"/>
    </row>
    <row r="479" spans="2:16" ht="14.25" customHeight="1" x14ac:dyDescent="0.25">
      <c r="B479" s="39"/>
      <c r="C479" s="132" t="s">
        <v>971</v>
      </c>
      <c r="D479" s="133"/>
      <c r="E479" s="133"/>
      <c r="F479" s="133"/>
      <c r="G479" s="133"/>
      <c r="H479" s="133"/>
      <c r="I479" s="133"/>
      <c r="J479" s="133"/>
      <c r="K479" s="133"/>
      <c r="L479" s="133"/>
      <c r="M479" s="133"/>
      <c r="N479" s="133"/>
      <c r="O479" s="133"/>
      <c r="P479" s="133"/>
    </row>
    <row r="480" spans="2:16" ht="30" x14ac:dyDescent="0.25">
      <c r="B480" s="39"/>
      <c r="C480" s="41">
        <v>1</v>
      </c>
      <c r="D480" s="42" t="s">
        <v>1000</v>
      </c>
      <c r="E480" s="42" t="s">
        <v>1001</v>
      </c>
      <c r="F480" s="43">
        <v>3.38</v>
      </c>
      <c r="G480" s="43">
        <v>106</v>
      </c>
      <c r="H480" s="44">
        <f>222.192992*F480*G480</f>
        <v>79607.305173760004</v>
      </c>
      <c r="I480" s="44">
        <f>1.5630273*F480*G480</f>
        <v>560.00142104399993</v>
      </c>
      <c r="J480" s="44">
        <f>0*F480*G480</f>
        <v>0</v>
      </c>
      <c r="K480" s="44">
        <f>211.527728384*F480*G480</f>
        <v>75786.154525419523</v>
      </c>
      <c r="L480" s="44">
        <f>45.70479350682*F480*G480</f>
        <v>16375.113417623468</v>
      </c>
      <c r="M480" s="44">
        <f>44.4385984*F480*G480</f>
        <v>15921.461034751999</v>
      </c>
      <c r="N480" s="44">
        <f t="shared" ref="N480:N488" si="205">SUM(H480:M480)</f>
        <v>188250.03557259898</v>
      </c>
      <c r="O480" s="45">
        <f t="shared" ref="O480:O489" si="206">N480*1.07*1.09*1.05</f>
        <v>230533.81731273836</v>
      </c>
      <c r="P480" s="46">
        <f t="shared" ref="P480:P489" si="207">IF($P$9&gt;0,O480/$P$9/12,0)</f>
        <v>1.5750718572376974</v>
      </c>
    </row>
    <row r="481" spans="2:16" ht="30" x14ac:dyDescent="0.25">
      <c r="B481" s="39"/>
      <c r="C481" s="47">
        <v>2</v>
      </c>
      <c r="D481" s="48" t="s">
        <v>1002</v>
      </c>
      <c r="E481" s="48" t="s">
        <v>1003</v>
      </c>
      <c r="F481" s="49">
        <v>3.7999999999999999E-2</v>
      </c>
      <c r="G481" s="49">
        <v>14</v>
      </c>
      <c r="H481" s="50">
        <f>194906.690208*F481*G481</f>
        <v>103690.359190656</v>
      </c>
      <c r="I481" s="50">
        <f>1344.641125644*F481*G481</f>
        <v>715.34907884260804</v>
      </c>
      <c r="J481" s="50">
        <f>0*F481*G481</f>
        <v>0</v>
      </c>
      <c r="K481" s="50">
        <f>185551.16907802*F481*G481</f>
        <v>98713.221949506638</v>
      </c>
      <c r="L481" s="50">
        <f>40089.262543224*F481*G481</f>
        <v>21327.487672995168</v>
      </c>
      <c r="M481" s="50">
        <f>38981.3380416*F481*G481</f>
        <v>20738.0718381312</v>
      </c>
      <c r="N481" s="50">
        <f t="shared" si="205"/>
        <v>245184.48973013164</v>
      </c>
      <c r="O481" s="51">
        <f t="shared" si="206"/>
        <v>300256.60389086523</v>
      </c>
      <c r="P481" s="52">
        <f t="shared" si="207"/>
        <v>2.0514375385399775</v>
      </c>
    </row>
    <row r="482" spans="2:16" x14ac:dyDescent="0.25">
      <c r="B482" s="39"/>
      <c r="C482" s="47">
        <v>3</v>
      </c>
      <c r="D482" s="48" t="s">
        <v>1004</v>
      </c>
      <c r="E482" s="48" t="s">
        <v>1005</v>
      </c>
      <c r="F482" s="49">
        <v>3.7999999999999999E-2</v>
      </c>
      <c r="G482" s="49">
        <v>4</v>
      </c>
      <c r="H482" s="50">
        <f>16706.24*F482*G482</f>
        <v>2539.3484800000001</v>
      </c>
      <c r="I482" s="50">
        <f>0*F482*G482</f>
        <v>0</v>
      </c>
      <c r="J482" s="50">
        <f>0*F482*G482</f>
        <v>0</v>
      </c>
      <c r="K482" s="50">
        <f>15904.34048*F482*G482</f>
        <v>2417.4597529600001</v>
      </c>
      <c r="L482" s="50">
        <f>3424.1109504*F482*G482</f>
        <v>520.46486446079996</v>
      </c>
      <c r="M482" s="50">
        <f>3341.248*F482*G482</f>
        <v>507.86969599999998</v>
      </c>
      <c r="N482" s="50">
        <f t="shared" si="205"/>
        <v>5985.1427934207995</v>
      </c>
      <c r="O482" s="51">
        <f t="shared" si="206"/>
        <v>7329.4956419650134</v>
      </c>
      <c r="P482" s="52">
        <f t="shared" si="207"/>
        <v>5.0077175001810643E-2</v>
      </c>
    </row>
    <row r="483" spans="2:16" x14ac:dyDescent="0.25">
      <c r="B483" s="39"/>
      <c r="C483" s="47">
        <v>4</v>
      </c>
      <c r="D483" s="48" t="s">
        <v>1006</v>
      </c>
      <c r="E483" s="48" t="s">
        <v>980</v>
      </c>
      <c r="F483" s="49">
        <v>38.76</v>
      </c>
      <c r="G483" s="49">
        <v>4</v>
      </c>
      <c r="H483" s="50">
        <f>175.789656*F483*G483</f>
        <v>27254.42826624</v>
      </c>
      <c r="I483" s="50">
        <f>37.5126552*F483*G483</f>
        <v>5815.9620622079992</v>
      </c>
      <c r="J483" s="50">
        <f>56.1468*F483*G483</f>
        <v>8704.9998719999985</v>
      </c>
      <c r="K483" s="50">
        <f>167.351752512*F483*G483</f>
        <v>25946.215709460477</v>
      </c>
      <c r="L483" s="50">
        <f>45.86409068976*F483*G483</f>
        <v>7110.7686205403897</v>
      </c>
      <c r="M483" s="50">
        <f>35.1579312*F483*G483</f>
        <v>5450.8856532479995</v>
      </c>
      <c r="N483" s="50">
        <f t="shared" si="205"/>
        <v>80283.260183696868</v>
      </c>
      <c r="O483" s="51">
        <f t="shared" si="206"/>
        <v>98316.08466985797</v>
      </c>
      <c r="P483" s="52">
        <f t="shared" si="207"/>
        <v>0.67172313321484767</v>
      </c>
    </row>
    <row r="484" spans="2:16" x14ac:dyDescent="0.25">
      <c r="B484" s="39"/>
      <c r="C484" s="47">
        <v>5</v>
      </c>
      <c r="D484" s="48" t="s">
        <v>1007</v>
      </c>
      <c r="E484" s="48" t="s">
        <v>1008</v>
      </c>
      <c r="F484" s="49">
        <v>0.06</v>
      </c>
      <c r="G484" s="49">
        <v>96</v>
      </c>
      <c r="H484" s="50">
        <f>402.620384*F484*G484</f>
        <v>2319.09341184</v>
      </c>
      <c r="I484" s="50">
        <f>625.21092*F484*G484</f>
        <v>3601.2148991999998</v>
      </c>
      <c r="J484" s="50">
        <f>0*F484*G484</f>
        <v>0</v>
      </c>
      <c r="K484" s="50">
        <f>383.294605568*F484*G484</f>
        <v>2207.7769280716802</v>
      </c>
      <c r="L484" s="50">
        <f>148.16822050464*F484*G484</f>
        <v>853.44895010672633</v>
      </c>
      <c r="M484" s="50">
        <f>80.5240768*F484*G484</f>
        <v>463.818682368</v>
      </c>
      <c r="N484" s="50">
        <f t="shared" si="205"/>
        <v>9445.3528715864068</v>
      </c>
      <c r="O484" s="51">
        <f t="shared" si="206"/>
        <v>11566.920806837788</v>
      </c>
      <c r="P484" s="52">
        <f t="shared" si="207"/>
        <v>7.9028455131301342E-2</v>
      </c>
    </row>
    <row r="485" spans="2:16" ht="45" x14ac:dyDescent="0.25">
      <c r="B485" s="39"/>
      <c r="C485" s="47">
        <v>6</v>
      </c>
      <c r="D485" s="48" t="s">
        <v>1009</v>
      </c>
      <c r="E485" s="48" t="s">
        <v>1010</v>
      </c>
      <c r="F485" s="49">
        <v>0.33800000000000002</v>
      </c>
      <c r="G485" s="49">
        <v>30</v>
      </c>
      <c r="H485" s="50">
        <f>3897.565792*F485*G485</f>
        <v>39521.317130880001</v>
      </c>
      <c r="I485" s="50">
        <f>0*F485*G485</f>
        <v>0</v>
      </c>
      <c r="J485" s="50">
        <f>0*F485*G485</f>
        <v>0</v>
      </c>
      <c r="K485" s="50">
        <f>3710.482633984*F485*G485</f>
        <v>37624.293908597763</v>
      </c>
      <c r="L485" s="50">
        <f>798.84508472832*F485*G485</f>
        <v>8100.2891591451662</v>
      </c>
      <c r="M485" s="50">
        <f>779.5131584*F485*G485</f>
        <v>7904.2634261759995</v>
      </c>
      <c r="N485" s="50">
        <f t="shared" si="205"/>
        <v>93150.163624798923</v>
      </c>
      <c r="O485" s="51">
        <f t="shared" si="206"/>
        <v>114073.08762738315</v>
      </c>
      <c r="P485" s="52">
        <f t="shared" si="207"/>
        <v>0.77937940769166703</v>
      </c>
    </row>
    <row r="486" spans="2:16" ht="45" x14ac:dyDescent="0.25">
      <c r="B486" s="39"/>
      <c r="C486" s="47">
        <v>7</v>
      </c>
      <c r="D486" s="48" t="s">
        <v>1011</v>
      </c>
      <c r="E486" s="48" t="s">
        <v>1010</v>
      </c>
      <c r="F486" s="49">
        <v>0.33800000000000002</v>
      </c>
      <c r="G486" s="49">
        <v>30</v>
      </c>
      <c r="H486" s="50">
        <f>16985.234208*F486*G486</f>
        <v>172230.27486912001</v>
      </c>
      <c r="I486" s="50">
        <f>0*F486*G486</f>
        <v>0</v>
      </c>
      <c r="J486" s="50">
        <f>0*F486*G486</f>
        <v>0</v>
      </c>
      <c r="K486" s="50">
        <f>16169.942966016*F486*G486</f>
        <v>163963.22167540225</v>
      </c>
      <c r="L486" s="50">
        <f>3481.2936032717*F486*G486</f>
        <v>35300.317137175036</v>
      </c>
      <c r="M486" s="50">
        <f>3397.0468416*F486*G486</f>
        <v>34446.054973824001</v>
      </c>
      <c r="N486" s="50">
        <f t="shared" si="205"/>
        <v>405939.86865552125</v>
      </c>
      <c r="O486" s="51">
        <f t="shared" si="206"/>
        <v>497120.05225358123</v>
      </c>
      <c r="P486" s="52">
        <f t="shared" si="207"/>
        <v>3.3964639682816897</v>
      </c>
    </row>
    <row r="487" spans="2:16" x14ac:dyDescent="0.25">
      <c r="B487" s="39"/>
      <c r="C487" s="47">
        <v>8</v>
      </c>
      <c r="D487" s="48" t="s">
        <v>1012</v>
      </c>
      <c r="E487" s="48" t="s">
        <v>455</v>
      </c>
      <c r="F487" s="49">
        <v>33.81</v>
      </c>
      <c r="G487" s="49">
        <v>20</v>
      </c>
      <c r="H487" s="50">
        <f>36.0854784*F487*G487</f>
        <v>24401.000494079999</v>
      </c>
      <c r="I487" s="50">
        <f>191.2542048*F487*G487</f>
        <v>129326.09328576</v>
      </c>
      <c r="J487" s="50">
        <f>0*F487*G487</f>
        <v>0</v>
      </c>
      <c r="K487" s="50">
        <f>34.3533754368*F487*G487</f>
        <v>23229.752470364161</v>
      </c>
      <c r="L487" s="50">
        <f>27.477771156864*F487*G487</f>
        <v>18580.46885627144</v>
      </c>
      <c r="M487" s="50">
        <f>7.21709568*F487*G487</f>
        <v>4880.2000988159998</v>
      </c>
      <c r="N487" s="50">
        <f t="shared" si="205"/>
        <v>200417.51520529157</v>
      </c>
      <c r="O487" s="51">
        <f t="shared" si="206"/>
        <v>245434.29538312816</v>
      </c>
      <c r="P487" s="52">
        <f t="shared" si="207"/>
        <v>1.6768761128633283</v>
      </c>
    </row>
    <row r="488" spans="2:16" s="125" customFormat="1" ht="30" x14ac:dyDescent="0.25">
      <c r="B488" s="134"/>
      <c r="C488" s="135">
        <v>10</v>
      </c>
      <c r="D488" s="120" t="s">
        <v>717</v>
      </c>
      <c r="E488" s="120" t="s">
        <v>718</v>
      </c>
      <c r="F488" s="121">
        <f>3381.2*0.2</f>
        <v>676.24</v>
      </c>
      <c r="G488" s="121">
        <v>3</v>
      </c>
      <c r="H488" s="122">
        <f>0*F488*G488</f>
        <v>0</v>
      </c>
      <c r="I488" s="122">
        <f>0*F488*G488</f>
        <v>0</v>
      </c>
      <c r="J488" s="122">
        <f>3.628385278*F488*G488</f>
        <v>7360.9777811841604</v>
      </c>
      <c r="K488" s="122">
        <f>1.33187716928*F488*G488</f>
        <v>2702.0058508617217</v>
      </c>
      <c r="L488" s="122">
        <f>0.5208275569644*F488*G488</f>
        <v>1056.6132813648173</v>
      </c>
      <c r="M488" s="122">
        <f>0.279806128*F488*G488</f>
        <v>567.64828799615998</v>
      </c>
      <c r="N488" s="122">
        <f t="shared" si="205"/>
        <v>11687.24520140686</v>
      </c>
      <c r="O488" s="123">
        <f t="shared" si="206"/>
        <v>14312.375782320865</v>
      </c>
      <c r="P488" s="124">
        <f t="shared" si="207"/>
        <v>9.7786175441507917E-2</v>
      </c>
    </row>
    <row r="489" spans="2:16" s="125" customFormat="1" x14ac:dyDescent="0.25">
      <c r="B489" s="134"/>
      <c r="C489" s="136">
        <v>11</v>
      </c>
      <c r="D489" s="126" t="s">
        <v>719</v>
      </c>
      <c r="E489" s="126" t="s">
        <v>488</v>
      </c>
      <c r="F489" s="127">
        <v>3381.2</v>
      </c>
      <c r="G489" s="127">
        <v>3</v>
      </c>
      <c r="H489" s="128"/>
      <c r="I489" s="129"/>
      <c r="J489" s="129"/>
      <c r="K489" s="129"/>
      <c r="L489" s="129"/>
      <c r="M489" s="129"/>
      <c r="N489" s="130">
        <f>F489*0.2*G489*375</f>
        <v>760770</v>
      </c>
      <c r="O489" s="130">
        <f t="shared" si="206"/>
        <v>931650.35355000012</v>
      </c>
      <c r="P489" s="131">
        <f t="shared" si="207"/>
        <v>6.3652971601623358</v>
      </c>
    </row>
    <row r="490" spans="2:16" ht="13.5" customHeight="1" thickBot="1" x14ac:dyDescent="0.3">
      <c r="B490" s="39"/>
      <c r="C490" s="115" t="s">
        <v>975</v>
      </c>
      <c r="D490" s="116"/>
      <c r="E490" s="116"/>
      <c r="F490" s="116"/>
      <c r="G490" s="116"/>
      <c r="H490" s="53">
        <f>SUM(H486:H488)</f>
        <v>196631.27536319999</v>
      </c>
      <c r="I490" s="53">
        <f t="shared" ref="I490:M490" si="208">SUM(I486:I488)</f>
        <v>129326.09328576</v>
      </c>
      <c r="J490" s="53">
        <f t="shared" si="208"/>
        <v>7360.9777811841604</v>
      </c>
      <c r="K490" s="53">
        <f t="shared" si="208"/>
        <v>189894.97999662813</v>
      </c>
      <c r="L490" s="53">
        <f t="shared" si="208"/>
        <v>54937.399274811294</v>
      </c>
      <c r="M490" s="53">
        <f t="shared" si="208"/>
        <v>39893.903360636163</v>
      </c>
      <c r="N490" s="53">
        <f>SUM(N486:N489)</f>
        <v>1378814.6290622195</v>
      </c>
      <c r="O490" s="53">
        <f>SUM(O486:O489)</f>
        <v>1688517.0769690303</v>
      </c>
      <c r="P490" s="53">
        <f>SUM(P480:P489)</f>
        <v>16.743140983566164</v>
      </c>
    </row>
    <row r="491" spans="2:16" ht="16.5" thickTop="1" thickBot="1" x14ac:dyDescent="0.3">
      <c r="B491" s="117" t="s">
        <v>1013</v>
      </c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110"/>
      <c r="N491" s="110"/>
      <c r="O491" s="63"/>
      <c r="P491" s="17"/>
    </row>
    <row r="492" spans="2:16" ht="16.5" thickTop="1" thickBot="1" x14ac:dyDescent="0.3">
      <c r="B492" s="92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111"/>
      <c r="N492" s="111"/>
      <c r="O492" s="64"/>
      <c r="P492" s="65"/>
    </row>
    <row r="493" spans="2:16" x14ac:dyDescent="0.25">
      <c r="B493" s="21"/>
      <c r="C493" s="22"/>
      <c r="D493" s="95"/>
      <c r="E493" s="95"/>
      <c r="F493" s="95"/>
      <c r="G493" s="95"/>
      <c r="H493" s="95"/>
      <c r="I493" s="95"/>
      <c r="J493" s="95"/>
      <c r="K493" s="95"/>
      <c r="L493" s="95"/>
      <c r="M493" s="95"/>
      <c r="N493" s="95"/>
      <c r="O493" s="95"/>
      <c r="P493" s="95"/>
    </row>
    <row r="494" spans="2:16" x14ac:dyDescent="0.25">
      <c r="B494" s="23">
        <v>1</v>
      </c>
      <c r="C494" s="24"/>
      <c r="D494" s="25" t="s">
        <v>1014</v>
      </c>
      <c r="E494" s="25"/>
      <c r="F494" s="66"/>
      <c r="G494" s="67"/>
      <c r="H494" s="68">
        <v>7318.2000000000007</v>
      </c>
      <c r="I494" s="68">
        <v>0</v>
      </c>
      <c r="J494" s="68">
        <v>0</v>
      </c>
      <c r="K494" s="68">
        <v>0</v>
      </c>
      <c r="L494" s="68">
        <v>0</v>
      </c>
      <c r="M494" s="68">
        <v>0</v>
      </c>
      <c r="N494" s="69">
        <v>7318.2000000000007</v>
      </c>
      <c r="O494" s="70">
        <v>8961.9774930000021</v>
      </c>
      <c r="P494" s="71">
        <v>6.1230750000000021E-2</v>
      </c>
    </row>
    <row r="495" spans="2:16" x14ac:dyDescent="0.25">
      <c r="B495" s="23">
        <v>2</v>
      </c>
      <c r="C495" s="24"/>
      <c r="D495" s="25" t="s">
        <v>1015</v>
      </c>
      <c r="E495" s="25"/>
      <c r="F495" s="66"/>
      <c r="G495" s="67"/>
      <c r="H495" s="68">
        <v>281018.88</v>
      </c>
      <c r="I495" s="68">
        <v>0</v>
      </c>
      <c r="J495" s="68">
        <v>0</v>
      </c>
      <c r="K495" s="68">
        <v>0</v>
      </c>
      <c r="L495" s="68">
        <v>0</v>
      </c>
      <c r="M495" s="68">
        <v>0</v>
      </c>
      <c r="N495" s="69">
        <v>281018.88</v>
      </c>
      <c r="O495" s="70">
        <v>344139.93573120004</v>
      </c>
      <c r="P495" s="71">
        <v>2.3512608000000004</v>
      </c>
    </row>
    <row r="496" spans="2:16" x14ac:dyDescent="0.25">
      <c r="B496" s="23">
        <v>3</v>
      </c>
      <c r="C496" s="24"/>
      <c r="D496" s="25" t="s">
        <v>1016</v>
      </c>
      <c r="E496" s="25"/>
      <c r="F496" s="66"/>
      <c r="G496" s="67"/>
      <c r="H496" s="68">
        <v>45372.84</v>
      </c>
      <c r="I496" s="68"/>
      <c r="J496" s="68"/>
      <c r="K496" s="68"/>
      <c r="L496" s="68"/>
      <c r="M496" s="68"/>
      <c r="N496" s="69">
        <v>45372.84</v>
      </c>
      <c r="O496" s="70">
        <v>55564.260456600001</v>
      </c>
      <c r="P496" s="71">
        <v>0.37963065000000001</v>
      </c>
    </row>
    <row r="497" spans="2:16" ht="15" customHeight="1" x14ac:dyDescent="0.25">
      <c r="B497" s="97" t="s">
        <v>30</v>
      </c>
      <c r="C497" s="97"/>
      <c r="D497" s="97"/>
      <c r="E497" s="97"/>
      <c r="F497" s="97"/>
      <c r="G497" s="97"/>
      <c r="H497" s="72">
        <f t="shared" ref="H497:P497" si="209">SUM(H494:H496)</f>
        <v>333709.92000000004</v>
      </c>
      <c r="I497" s="72">
        <f t="shared" si="209"/>
        <v>0</v>
      </c>
      <c r="J497" s="72">
        <f t="shared" si="209"/>
        <v>0</v>
      </c>
      <c r="K497" s="72">
        <f t="shared" si="209"/>
        <v>0</v>
      </c>
      <c r="L497" s="72">
        <f t="shared" si="209"/>
        <v>0</v>
      </c>
      <c r="M497" s="72">
        <f t="shared" si="209"/>
        <v>0</v>
      </c>
      <c r="N497" s="72">
        <f t="shared" si="209"/>
        <v>333709.92000000004</v>
      </c>
      <c r="O497" s="72">
        <f t="shared" si="209"/>
        <v>408666.17368080001</v>
      </c>
      <c r="P497" s="73">
        <f t="shared" si="209"/>
        <v>2.7921222000000006</v>
      </c>
    </row>
    <row r="498" spans="2:16" x14ac:dyDescent="0.25">
      <c r="B498" s="92" t="s">
        <v>1017</v>
      </c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110"/>
      <c r="N498" s="110"/>
      <c r="O498" s="63"/>
      <c r="P498" s="17"/>
    </row>
    <row r="499" spans="2:16" ht="16.5" thickTop="1" thickBot="1" x14ac:dyDescent="0.3">
      <c r="B499" s="92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111"/>
      <c r="N499" s="111"/>
      <c r="O499" s="64"/>
      <c r="P499" s="65"/>
    </row>
    <row r="500" spans="2:16" ht="15.75" thickTop="1" x14ac:dyDescent="0.25">
      <c r="B500" s="21"/>
      <c r="C500" s="22"/>
      <c r="D500" s="95"/>
      <c r="E500" s="95"/>
      <c r="F500" s="95"/>
      <c r="G500" s="95"/>
      <c r="H500" s="95"/>
      <c r="I500" s="95"/>
      <c r="J500" s="95"/>
      <c r="K500" s="95"/>
      <c r="L500" s="95"/>
      <c r="M500" s="95"/>
      <c r="N500" s="95"/>
      <c r="O500" s="95"/>
      <c r="P500" s="95"/>
    </row>
    <row r="501" spans="2:16" ht="15.75" thickBot="1" x14ac:dyDescent="0.3">
      <c r="B501" s="23">
        <v>1</v>
      </c>
      <c r="C501" s="24"/>
      <c r="D501" s="25" t="s">
        <v>1017</v>
      </c>
      <c r="E501" s="25"/>
      <c r="F501" s="66"/>
      <c r="G501" s="67"/>
      <c r="H501" s="68">
        <f>5.4*12*P9</f>
        <v>790365.60000000009</v>
      </c>
      <c r="I501" s="68">
        <f>F501 * G501 * 89375.08344</f>
        <v>0</v>
      </c>
      <c r="J501" s="68">
        <f>F501 * G501 * 0</f>
        <v>0</v>
      </c>
      <c r="K501" s="68">
        <f>F501 * G501 * 538.384453</f>
        <v>0</v>
      </c>
      <c r="L501" s="68">
        <f>F501 * G501 * 9500.294767</f>
        <v>0</v>
      </c>
      <c r="M501" s="68">
        <f>F501 * G501 * 113.105978</f>
        <v>0</v>
      </c>
      <c r="N501" s="69">
        <f>SUM(H501:M501)</f>
        <v>790365.60000000009</v>
      </c>
      <c r="O501" s="70">
        <f>N501</f>
        <v>790365.60000000009</v>
      </c>
      <c r="P501" s="71">
        <f>IF($P$9&gt;0,O501/$P$9/12,0)</f>
        <v>5.4000000000000012</v>
      </c>
    </row>
    <row r="502" spans="2:16" ht="15" customHeight="1" thickTop="1" thickBot="1" x14ac:dyDescent="0.3">
      <c r="B502" s="97" t="s">
        <v>30</v>
      </c>
      <c r="C502" s="97"/>
      <c r="D502" s="97"/>
      <c r="E502" s="97"/>
      <c r="F502" s="97"/>
      <c r="G502" s="97"/>
      <c r="H502" s="72">
        <f t="shared" ref="H502:P502" si="210">SUM(H501)</f>
        <v>790365.60000000009</v>
      </c>
      <c r="I502" s="72">
        <f t="shared" si="210"/>
        <v>0</v>
      </c>
      <c r="J502" s="72">
        <f t="shared" si="210"/>
        <v>0</v>
      </c>
      <c r="K502" s="72">
        <f t="shared" si="210"/>
        <v>0</v>
      </c>
      <c r="L502" s="72">
        <f t="shared" si="210"/>
        <v>0</v>
      </c>
      <c r="M502" s="72">
        <f t="shared" si="210"/>
        <v>0</v>
      </c>
      <c r="N502" s="72">
        <f t="shared" si="210"/>
        <v>790365.60000000009</v>
      </c>
      <c r="O502" s="72">
        <f t="shared" si="210"/>
        <v>790365.60000000009</v>
      </c>
      <c r="P502" s="73">
        <f t="shared" si="210"/>
        <v>5.4000000000000012</v>
      </c>
    </row>
    <row r="503" spans="2:16" ht="16.5" thickTop="1" thickBot="1" x14ac:dyDescent="0.3">
      <c r="B503" s="74" t="s">
        <v>1018</v>
      </c>
      <c r="C503" s="75"/>
      <c r="D503" s="75"/>
      <c r="E503" s="76"/>
      <c r="F503" s="77"/>
      <c r="G503" s="77"/>
      <c r="H503" s="78">
        <f>SUM(H502,H497,H490,H483,H463,H469,H458,H422,H339,H184,H174,H160,H124,H15)</f>
        <v>1833193.1445563089</v>
      </c>
      <c r="I503" s="78">
        <f>SUM(I502,I497,I490,I483,I463,I469,I458,I422,I339,I184,I174,I160,I124,I15)</f>
        <v>419469.24588330695</v>
      </c>
      <c r="J503" s="78">
        <f>SUM(J502,J497,J490,J483,J463,J469,J458,J422,J339,J184,J174,J160,J124,J15)</f>
        <v>16980.520270214161</v>
      </c>
      <c r="K503" s="78">
        <f>SUM(K502,K497,K490,K483,K463,K469,K458,K422,K339,K184,K174,K160,K124,K15)</f>
        <v>665147.25971172948</v>
      </c>
      <c r="L503" s="78">
        <f>SUM(L502,L497,L490,L483,L463,L469,L458,L422,L339,L184,L174,L160,L124,L15)</f>
        <v>188688.63701547531</v>
      </c>
      <c r="M503" s="78">
        <f>SUM(M502,M497,M490,M483,M463,M469,M458,M422,M339,M184,M174,M160,M124,M15)</f>
        <v>139736.81937684619</v>
      </c>
      <c r="N503" s="78">
        <f>SUM(N502,N497,N490,N483,N463,N469,N458,N422,N339,N184,N174,N160,N124,N15)</f>
        <v>4023985.626813882</v>
      </c>
      <c r="O503" s="78">
        <f>SUM(O502,O497,O490,O483,O463,O469,O458,O422,O339,O184,O174,O160,O124,O15)</f>
        <v>4750305.1891366811</v>
      </c>
      <c r="P503" s="79">
        <f>SUM(P502,P497,P490,P477,P457,P463,P452,P416,P333,P184,P174,P160,P124,P15)</f>
        <v>64.5086502900255</v>
      </c>
    </row>
    <row r="504" spans="2:16" ht="15.75" thickTop="1" x14ac:dyDescent="0.25">
      <c r="B504" s="1"/>
      <c r="C504" s="1"/>
      <c r="D504" s="1"/>
      <c r="E504" s="1"/>
      <c r="F504" s="8"/>
      <c r="G504" s="8"/>
      <c r="H504" s="8"/>
      <c r="I504" s="8"/>
      <c r="J504" s="8"/>
      <c r="K504" s="8"/>
      <c r="L504" s="8"/>
      <c r="M504" s="80"/>
      <c r="N504" s="80"/>
      <c r="O504" s="80"/>
      <c r="P504" s="81"/>
    </row>
    <row r="505" spans="2:16" x14ac:dyDescent="0.25">
      <c r="B505" s="1"/>
      <c r="C505" s="1"/>
      <c r="D505" s="1"/>
      <c r="E505" s="1"/>
      <c r="F505" s="8"/>
      <c r="G505" s="8"/>
      <c r="H505" s="8"/>
      <c r="I505" s="8"/>
      <c r="J505" s="8"/>
      <c r="K505" s="8"/>
      <c r="L505" s="8"/>
      <c r="M505" s="80"/>
      <c r="N505" s="80"/>
      <c r="O505" s="80"/>
      <c r="P505" s="81"/>
    </row>
    <row r="506" spans="2:16" x14ac:dyDescent="0.25">
      <c r="B506" s="5"/>
      <c r="C506" s="82" t="s">
        <v>1019</v>
      </c>
      <c r="D506" s="5" t="s">
        <v>1020</v>
      </c>
      <c r="E506" s="5"/>
      <c r="F506" s="6"/>
      <c r="G506" s="83"/>
      <c r="H506" s="83"/>
      <c r="I506" s="6" t="s">
        <v>1042</v>
      </c>
      <c r="J506" s="6"/>
      <c r="K506" s="6"/>
      <c r="L506" s="6"/>
      <c r="M506" s="80"/>
      <c r="N506" s="80"/>
      <c r="O506" s="80"/>
      <c r="P506" s="81"/>
    </row>
    <row r="507" spans="2:16" x14ac:dyDescent="0.25">
      <c r="B507" s="5"/>
      <c r="C507" s="5"/>
      <c r="D507" s="5"/>
      <c r="E507" s="5"/>
      <c r="F507" s="6"/>
      <c r="G507" s="112" t="s">
        <v>1021</v>
      </c>
      <c r="H507" s="112"/>
      <c r="I507" s="6"/>
      <c r="J507" s="6"/>
      <c r="K507" s="6"/>
      <c r="L507" s="6"/>
      <c r="M507" s="80"/>
      <c r="N507" s="80"/>
      <c r="O507" s="80"/>
      <c r="P507" s="81"/>
    </row>
    <row r="508" spans="2:16" x14ac:dyDescent="0.25">
      <c r="B508" s="5"/>
      <c r="C508" s="5"/>
      <c r="D508" s="5"/>
      <c r="E508" s="5"/>
      <c r="F508" s="6"/>
      <c r="G508" s="6"/>
      <c r="H508" s="6"/>
      <c r="I508" s="6"/>
      <c r="J508" s="6"/>
      <c r="K508" s="6"/>
      <c r="L508" s="6"/>
      <c r="M508" s="80"/>
      <c r="N508" s="80"/>
      <c r="O508" s="80"/>
      <c r="P508" s="81"/>
    </row>
    <row r="509" spans="2:16" x14ac:dyDescent="0.25">
      <c r="B509" s="5"/>
      <c r="C509" s="5"/>
      <c r="D509" s="5"/>
      <c r="E509" s="5"/>
      <c r="F509" s="6"/>
      <c r="G509" s="6"/>
      <c r="H509" s="6"/>
      <c r="I509" s="6"/>
      <c r="J509" s="6"/>
      <c r="K509" s="6"/>
      <c r="L509" s="6"/>
      <c r="M509" s="80"/>
      <c r="N509" s="80"/>
      <c r="O509" s="80"/>
      <c r="P509" s="81"/>
    </row>
    <row r="510" spans="2:16" x14ac:dyDescent="0.25">
      <c r="B510" s="5"/>
      <c r="C510" s="5"/>
      <c r="D510" s="5" t="s">
        <v>1022</v>
      </c>
      <c r="E510" s="5"/>
      <c r="F510" s="6"/>
      <c r="G510" s="83"/>
      <c r="H510" s="83"/>
      <c r="I510" s="6" t="s">
        <v>1023</v>
      </c>
      <c r="J510" s="6"/>
      <c r="K510" s="6"/>
      <c r="L510" s="6"/>
      <c r="M510" s="80"/>
      <c r="N510" s="80"/>
      <c r="O510" s="80"/>
      <c r="P510" s="81"/>
    </row>
    <row r="511" spans="2:16" x14ac:dyDescent="0.25">
      <c r="B511" s="5"/>
      <c r="C511" s="5"/>
      <c r="D511" s="5"/>
      <c r="E511" s="5"/>
      <c r="F511" s="6"/>
      <c r="G511" s="112" t="s">
        <v>1021</v>
      </c>
      <c r="H511" s="112"/>
      <c r="I511" s="6"/>
      <c r="J511" s="6"/>
      <c r="K511" s="6"/>
      <c r="L511" s="6"/>
      <c r="M511" s="80"/>
      <c r="N511" s="80"/>
      <c r="O511" s="80"/>
      <c r="P511" s="81"/>
    </row>
    <row r="512" spans="2:16" x14ac:dyDescent="0.25">
      <c r="B512" s="5"/>
      <c r="C512" s="5"/>
      <c r="D512" s="5"/>
      <c r="E512" s="5"/>
      <c r="F512" s="6"/>
      <c r="G512" s="6"/>
      <c r="H512" s="6"/>
      <c r="I512" s="6"/>
      <c r="J512" s="6"/>
      <c r="K512" s="6"/>
      <c r="L512" s="6"/>
      <c r="M512" s="80"/>
      <c r="N512" s="80"/>
      <c r="O512" s="80"/>
      <c r="P512" s="81"/>
    </row>
    <row r="513" spans="2:16" x14ac:dyDescent="0.25">
      <c r="B513" s="5"/>
      <c r="C513" s="5"/>
      <c r="D513" s="5"/>
      <c r="E513" s="5"/>
      <c r="F513" s="6"/>
      <c r="G513" s="6"/>
      <c r="H513" s="6"/>
      <c r="I513" s="6"/>
      <c r="J513" s="6"/>
      <c r="K513" s="6"/>
      <c r="L513" s="6"/>
      <c r="M513" s="80"/>
      <c r="N513" s="80"/>
      <c r="O513" s="80"/>
      <c r="P513" s="81"/>
    </row>
    <row r="514" spans="2:16" x14ac:dyDescent="0.25">
      <c r="B514" s="5"/>
      <c r="C514" s="5" t="s">
        <v>1024</v>
      </c>
      <c r="D514" s="5"/>
      <c r="E514" s="5"/>
      <c r="F514" s="6"/>
      <c r="G514" s="6"/>
      <c r="H514" s="6"/>
      <c r="I514" s="6"/>
      <c r="J514" s="6"/>
      <c r="K514" s="6"/>
      <c r="L514" s="6"/>
      <c r="M514" s="80"/>
      <c r="N514" s="80"/>
      <c r="O514" s="80"/>
      <c r="P514" s="81"/>
    </row>
    <row r="515" spans="2:16" x14ac:dyDescent="0.25">
      <c r="B515" s="5"/>
      <c r="C515" s="84" t="s">
        <v>1043</v>
      </c>
      <c r="D515" s="5"/>
      <c r="E515" s="5"/>
      <c r="F515" s="6"/>
      <c r="G515" s="6"/>
      <c r="H515" s="6"/>
      <c r="I515" s="6"/>
      <c r="J515" s="6"/>
      <c r="K515" s="6"/>
      <c r="L515" s="6"/>
      <c r="M515" s="80"/>
      <c r="N515" s="80"/>
      <c r="O515" s="80"/>
      <c r="P515" s="81"/>
    </row>
  </sheetData>
  <mergeCells count="213">
    <mergeCell ref="B497:G497"/>
    <mergeCell ref="B498:L499"/>
    <mergeCell ref="M498:N498"/>
    <mergeCell ref="M499:N499"/>
    <mergeCell ref="D500:P500"/>
    <mergeCell ref="B502:G502"/>
    <mergeCell ref="G507:H507"/>
    <mergeCell ref="G511:H511"/>
    <mergeCell ref="D331:P331"/>
    <mergeCell ref="C477:G477"/>
    <mergeCell ref="C478:L478"/>
    <mergeCell ref="M478:N478"/>
    <mergeCell ref="C479:P479"/>
    <mergeCell ref="C490:G490"/>
    <mergeCell ref="B491:L492"/>
    <mergeCell ref="M491:N491"/>
    <mergeCell ref="M492:N492"/>
    <mergeCell ref="D493:P493"/>
    <mergeCell ref="C454:P454"/>
    <mergeCell ref="C457:G457"/>
    <mergeCell ref="C458:L458"/>
    <mergeCell ref="M458:N458"/>
    <mergeCell ref="C459:P459"/>
    <mergeCell ref="C463:G463"/>
    <mergeCell ref="C464:L464"/>
    <mergeCell ref="M464:N464"/>
    <mergeCell ref="C465:P465"/>
    <mergeCell ref="D425:P425"/>
    <mergeCell ref="D431:P431"/>
    <mergeCell ref="D433:P433"/>
    <mergeCell ref="D435:P435"/>
    <mergeCell ref="D438:P438"/>
    <mergeCell ref="D446:P446"/>
    <mergeCell ref="D447:P447"/>
    <mergeCell ref="B452:G452"/>
    <mergeCell ref="C453:L453"/>
    <mergeCell ref="M453:N453"/>
    <mergeCell ref="D407:P407"/>
    <mergeCell ref="D411:P411"/>
    <mergeCell ref="B416:G416"/>
    <mergeCell ref="B417:L418"/>
    <mergeCell ref="M417:N417"/>
    <mergeCell ref="M418:N418"/>
    <mergeCell ref="D419:P419"/>
    <mergeCell ref="D420:P420"/>
    <mergeCell ref="D424:P424"/>
    <mergeCell ref="D383:P383"/>
    <mergeCell ref="D384:P384"/>
    <mergeCell ref="D387:P387"/>
    <mergeCell ref="D391:P391"/>
    <mergeCell ref="D392:P392"/>
    <mergeCell ref="D393:P393"/>
    <mergeCell ref="D395:P395"/>
    <mergeCell ref="D403:P403"/>
    <mergeCell ref="D406:P406"/>
    <mergeCell ref="D360:P360"/>
    <mergeCell ref="D362:P362"/>
    <mergeCell ref="D364:P364"/>
    <mergeCell ref="D367:P367"/>
    <mergeCell ref="D369:P369"/>
    <mergeCell ref="D373:P373"/>
    <mergeCell ref="D377:P377"/>
    <mergeCell ref="D379:P379"/>
    <mergeCell ref="D381:P381"/>
    <mergeCell ref="D336:P336"/>
    <mergeCell ref="D337:P337"/>
    <mergeCell ref="D338:P338"/>
    <mergeCell ref="D344:P344"/>
    <mergeCell ref="D348:P348"/>
    <mergeCell ref="D349:P349"/>
    <mergeCell ref="D353:P353"/>
    <mergeCell ref="D356:P356"/>
    <mergeCell ref="D359:P359"/>
    <mergeCell ref="D309:P309"/>
    <mergeCell ref="D310:P310"/>
    <mergeCell ref="D312:P312"/>
    <mergeCell ref="D316:P316"/>
    <mergeCell ref="D322:P322"/>
    <mergeCell ref="D324:P324"/>
    <mergeCell ref="D325:P325"/>
    <mergeCell ref="B333:G333"/>
    <mergeCell ref="B334:L335"/>
    <mergeCell ref="M334:N334"/>
    <mergeCell ref="M335:N335"/>
    <mergeCell ref="D284:P284"/>
    <mergeCell ref="D292:P292"/>
    <mergeCell ref="D293:P293"/>
    <mergeCell ref="D295:P295"/>
    <mergeCell ref="D297:P297"/>
    <mergeCell ref="D298:P298"/>
    <mergeCell ref="D301:P301"/>
    <mergeCell ref="D303:P303"/>
    <mergeCell ref="D305:P305"/>
    <mergeCell ref="D253:P253"/>
    <mergeCell ref="D257:P257"/>
    <mergeCell ref="D259:P259"/>
    <mergeCell ref="D262:P262"/>
    <mergeCell ref="D265:P265"/>
    <mergeCell ref="D268:P268"/>
    <mergeCell ref="D272:P272"/>
    <mergeCell ref="D274:P274"/>
    <mergeCell ref="D275:P275"/>
    <mergeCell ref="D237:P237"/>
    <mergeCell ref="D238:P238"/>
    <mergeCell ref="D241:P241"/>
    <mergeCell ref="D243:P243"/>
    <mergeCell ref="D245:P245"/>
    <mergeCell ref="D246:P246"/>
    <mergeCell ref="D247:P247"/>
    <mergeCell ref="D249:P249"/>
    <mergeCell ref="D250:P250"/>
    <mergeCell ref="D218:P218"/>
    <mergeCell ref="D224:P224"/>
    <mergeCell ref="D225:P225"/>
    <mergeCell ref="D226:P226"/>
    <mergeCell ref="D228:P228"/>
    <mergeCell ref="D229:P229"/>
    <mergeCell ref="D231:P231"/>
    <mergeCell ref="D232:P232"/>
    <mergeCell ref="D234:P234"/>
    <mergeCell ref="D201:P201"/>
    <mergeCell ref="D203:P203"/>
    <mergeCell ref="D206:P206"/>
    <mergeCell ref="D208:P208"/>
    <mergeCell ref="D209:P209"/>
    <mergeCell ref="D212:P212"/>
    <mergeCell ref="D213:P213"/>
    <mergeCell ref="D215:P215"/>
    <mergeCell ref="D216:P216"/>
    <mergeCell ref="B184:G184"/>
    <mergeCell ref="B185:L186"/>
    <mergeCell ref="M185:N185"/>
    <mergeCell ref="M186:N186"/>
    <mergeCell ref="D187:P187"/>
    <mergeCell ref="D194:P194"/>
    <mergeCell ref="D195:P195"/>
    <mergeCell ref="D196:P196"/>
    <mergeCell ref="D198:P198"/>
    <mergeCell ref="D171:P171"/>
    <mergeCell ref="B174:G174"/>
    <mergeCell ref="B175:L176"/>
    <mergeCell ref="M175:N175"/>
    <mergeCell ref="M176:N176"/>
    <mergeCell ref="D177:P177"/>
    <mergeCell ref="D178:P178"/>
    <mergeCell ref="D179:P179"/>
    <mergeCell ref="D182:P182"/>
    <mergeCell ref="B161:L162"/>
    <mergeCell ref="M161:N161"/>
    <mergeCell ref="M162:N162"/>
    <mergeCell ref="D163:P163"/>
    <mergeCell ref="D164:P164"/>
    <mergeCell ref="D165:P165"/>
    <mergeCell ref="D167:P167"/>
    <mergeCell ref="D168:P168"/>
    <mergeCell ref="D170:P170"/>
    <mergeCell ref="D127:P127"/>
    <mergeCell ref="D128:P128"/>
    <mergeCell ref="D129:P129"/>
    <mergeCell ref="D132:P132"/>
    <mergeCell ref="D137:P137"/>
    <mergeCell ref="D139:P139"/>
    <mergeCell ref="D145:P145"/>
    <mergeCell ref="D150:P150"/>
    <mergeCell ref="B160:G160"/>
    <mergeCell ref="D96:P96"/>
    <mergeCell ref="D97:P97"/>
    <mergeCell ref="D102:P102"/>
    <mergeCell ref="D103:P103"/>
    <mergeCell ref="D112:P112"/>
    <mergeCell ref="D121:P121"/>
    <mergeCell ref="D122:P122"/>
    <mergeCell ref="B124:G124"/>
    <mergeCell ref="B125:L126"/>
    <mergeCell ref="M125:N125"/>
    <mergeCell ref="M126:N126"/>
    <mergeCell ref="D67:P67"/>
    <mergeCell ref="D73:P73"/>
    <mergeCell ref="D74:P74"/>
    <mergeCell ref="D79:P79"/>
    <mergeCell ref="D82:P82"/>
    <mergeCell ref="D83:P83"/>
    <mergeCell ref="D88:P88"/>
    <mergeCell ref="D91:P91"/>
    <mergeCell ref="D93:P93"/>
    <mergeCell ref="D48:P48"/>
    <mergeCell ref="D51:P51"/>
    <mergeCell ref="D52:P52"/>
    <mergeCell ref="D54:P54"/>
    <mergeCell ref="D57:P57"/>
    <mergeCell ref="D59:P59"/>
    <mergeCell ref="D61:P61"/>
    <mergeCell ref="D64:P64"/>
    <mergeCell ref="D65:P65"/>
    <mergeCell ref="D18:P18"/>
    <mergeCell ref="D19:P19"/>
    <mergeCell ref="D20:P20"/>
    <mergeCell ref="D26:P26"/>
    <mergeCell ref="D30:P30"/>
    <mergeCell ref="D34:P34"/>
    <mergeCell ref="D38:P38"/>
    <mergeCell ref="D45:P45"/>
    <mergeCell ref="D46:P46"/>
    <mergeCell ref="B5:P5"/>
    <mergeCell ref="B8:L9"/>
    <mergeCell ref="M8:N8"/>
    <mergeCell ref="M9:N9"/>
    <mergeCell ref="D10:P10"/>
    <mergeCell ref="D12:P12"/>
    <mergeCell ref="B15:G15"/>
    <mergeCell ref="B16:L17"/>
    <mergeCell ref="M16:N16"/>
    <mergeCell ref="M17:N17"/>
  </mergeCells>
  <pageMargins left="0.7" right="0.7" top="0.75" bottom="0.75" header="0.3" footer="0.3"/>
  <pageSetup paperSize="9" scale="57" firstPageNumber="0" fitToHeight="0" orientation="landscape" r:id="rId1"/>
  <headerFooter>
    <oddFooter>&amp;CСтр.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</vt:lpstr>
      <vt:lpstr>Смета!Заголовки_для_печати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Побежимова, 17 Техническое обслуживание и ремонт вентиляционных каналов</dc:title>
  <dc:subject/>
  <dc:creator>User</dc:creator>
  <dc:description/>
  <cp:lastModifiedBy>User</cp:lastModifiedBy>
  <cp:revision>2</cp:revision>
  <cp:lastPrinted>2023-06-16T06:04:39Z</cp:lastPrinted>
  <dcterms:created xsi:type="dcterms:W3CDTF">2022-02-24T12:49:13Z</dcterms:created>
  <dcterms:modified xsi:type="dcterms:W3CDTF">2026-03-04T06:40:37Z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